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Task_Charukit\รายงานสถานะการเบิกจ่ายงบประมาณ NFMA46\รายงานสถานะการเบิกจ่ายประจำเดือน\อัพหน้าเว็บ\"/>
    </mc:Choice>
  </mc:AlternateContent>
  <xr:revisionPtr revIDLastSave="0" documentId="8_{9761D285-DA32-4116-9507-5C5BA353DB48}" xr6:coauthVersionLast="36" xr6:coauthVersionMax="36" xr10:uidLastSave="{00000000-0000-0000-0000-000000000000}"/>
  <bookViews>
    <workbookView xWindow="-105" yWindow="-105" windowWidth="23250" windowHeight="12450" tabRatio="972" xr2:uid="{00000000-000D-0000-FFFF-FFFF00000000}"/>
  </bookViews>
  <sheets>
    <sheet name="สรุปเบิก ม.ค. 68" sheetId="1" r:id="rId1"/>
    <sheet name="ใบกัน+GF ม.ค. 68" sheetId="2" r:id="rId2"/>
    <sheet name="รวมใบกัน ม.ค. 68" sheetId="3" r:id="rId3"/>
    <sheet name="ใบกัน 100" sheetId="4" r:id="rId4"/>
    <sheet name="ใบกัน 260" sheetId="5" r:id="rId5"/>
    <sheet name="ใบกัน 300-400(ภาครัฐ)" sheetId="6" r:id="rId6"/>
    <sheet name="ใบกัน 300" sheetId="7" r:id="rId7"/>
    <sheet name="ใบกัน 400" sheetId="8" r:id="rId8"/>
    <sheet name="ใบกัน 450" sheetId="9" r:id="rId9"/>
    <sheet name="ใบกัน 500" sheetId="10" r:id="rId10"/>
    <sheet name="ใบกัน 600" sheetId="11" r:id="rId11"/>
    <sheet name="ใบกัน 900-ดำเนินงาน" sheetId="12" r:id="rId12"/>
    <sheet name="ใบกัน 900-ลงทุน" sheetId="13" r:id="rId13"/>
    <sheet name="GF ม.ค. 68" sheetId="14" r:id="rId14"/>
    <sheet name="GF 100" sheetId="15" r:id="rId15"/>
    <sheet name="GF 260" sheetId="16" r:id="rId16"/>
    <sheet name="GF 300-400(ภาครัฐ)" sheetId="17" r:id="rId17"/>
    <sheet name="GF 300" sheetId="18" r:id="rId18"/>
    <sheet name="GF 400" sheetId="19" r:id="rId19"/>
    <sheet name="GF 450" sheetId="20" r:id="rId20"/>
    <sheet name="GF 500" sheetId="21" r:id="rId21"/>
    <sheet name="GF 600" sheetId="22" r:id="rId22"/>
    <sheet name="GF 900 - งบกลาง" sheetId="23" r:id="rId23"/>
    <sheet name="GF 900-ดำเนินงาน" sheetId="24" r:id="rId24"/>
    <sheet name="GF 900-ลงทุน" sheetId="25" r:id="rId25"/>
    <sheet name="คชจ.เป็น JOB" sheetId="26" r:id="rId26"/>
  </sheets>
  <externalReferences>
    <externalReference r:id="rId27"/>
  </externalReferences>
  <definedNames>
    <definedName name="_xlnm._FilterDatabase" localSheetId="17" hidden="1">'GF 300'!$A$2:$H$73</definedName>
    <definedName name="_xlnm._FilterDatabase" localSheetId="18" hidden="1">'GF 400'!$A$2:$AE$581</definedName>
    <definedName name="_xlnm._FilterDatabase" localSheetId="19" hidden="1">'GF 450'!$A$2:$L$241</definedName>
    <definedName name="_xlnm._FilterDatabase" localSheetId="22" hidden="1">'GF 900 - งบกลาง'!$A$1:$P$344</definedName>
    <definedName name="_xlnm._FilterDatabase" localSheetId="3" hidden="1">'ใบกัน 100'!$A$2:$L$2</definedName>
    <definedName name="_xlnm._FilterDatabase" localSheetId="4" hidden="1">'ใบกัน 260'!$A$2:$G$2</definedName>
    <definedName name="_xlnm._FilterDatabase" localSheetId="6" hidden="1">'ใบกัน 300'!$A$2:$O$191</definedName>
    <definedName name="_xlnm._FilterDatabase" localSheetId="5" hidden="1">'ใบกัน 300-400(ภาครัฐ)'!$A$2:$I$2</definedName>
    <definedName name="_xlnm._FilterDatabase" localSheetId="7" hidden="1">'ใบกัน 400'!$A$2:$BA$329</definedName>
    <definedName name="_xlnm._FilterDatabase" localSheetId="8" hidden="1">'ใบกัน 450'!$A$2:$U$173</definedName>
    <definedName name="_xlnm._FilterDatabase" localSheetId="9" hidden="1">'ใบกัน 500'!$A$2:$U$176</definedName>
    <definedName name="_xlnm._FilterDatabase" localSheetId="10" hidden="1">'ใบกัน 600'!$A$2:$U$126</definedName>
    <definedName name="_xlnm._FilterDatabase" localSheetId="11" hidden="1">'ใบกัน 900-ดำเนินงาน'!$A$1:$T$203</definedName>
    <definedName name="_xlnm.Print_Area" localSheetId="13">'GF ม.ค. 68'!$A$1:$J$139</definedName>
    <definedName name="_xlnm.Print_Area" localSheetId="1">'ใบกัน+GF ม.ค. 68'!$A$1:$P$72</definedName>
    <definedName name="_xlnm.Print_Area" localSheetId="2">'รวมใบกัน ม.ค. 68'!$A$1:$J$140</definedName>
    <definedName name="_xlnm.Print_Titles" localSheetId="13">'GF ม.ค. 68'!$3:$5</definedName>
    <definedName name="_xlnm.Print_Titles" localSheetId="1">'ใบกัน+GF ม.ค. 68'!$3:$6</definedName>
    <definedName name="_xlnm.Print_Titles" localSheetId="2">'รวมใบกัน ม.ค. 68'!$3:$6</definedName>
  </definedNames>
  <calcPr calcId="191029"/>
</workbook>
</file>

<file path=xl/calcChain.xml><?xml version="1.0" encoding="utf-8"?>
<calcChain xmlns="http://schemas.openxmlformats.org/spreadsheetml/2006/main">
  <c r="D18" i="1" l="1"/>
  <c r="E38" i="1" l="1"/>
  <c r="BA138" i="8" l="1"/>
  <c r="AH138" i="8"/>
  <c r="AM138" i="8" s="1"/>
  <c r="BA137" i="8"/>
  <c r="AH137" i="8"/>
  <c r="AM137" i="8" s="1"/>
  <c r="BA136" i="8"/>
  <c r="AH136" i="8"/>
  <c r="AM136" i="8" s="1"/>
  <c r="BA139" i="8"/>
  <c r="AH139" i="8"/>
  <c r="AM139" i="8" s="1"/>
  <c r="BA140" i="8"/>
  <c r="AH140" i="8"/>
  <c r="AM140" i="8" s="1"/>
  <c r="I65" i="7"/>
  <c r="N65" i="7" s="1"/>
  <c r="I64" i="7"/>
  <c r="N64" i="7" s="1"/>
  <c r="I66" i="7"/>
  <c r="N66" i="7" s="1"/>
  <c r="I63" i="7"/>
  <c r="N63" i="7" s="1"/>
  <c r="BA134" i="8"/>
  <c r="AH134" i="8"/>
  <c r="AM134" i="8" s="1"/>
  <c r="BA133" i="8"/>
  <c r="AH133" i="8"/>
  <c r="AM133" i="8" s="1"/>
  <c r="BA135" i="8"/>
  <c r="AH135" i="8"/>
  <c r="AM135" i="8" s="1"/>
  <c r="BA132" i="8"/>
  <c r="AH132" i="8"/>
  <c r="AM132" i="8" s="1"/>
  <c r="I61" i="7"/>
  <c r="N61" i="7" s="1"/>
  <c r="I60" i="7"/>
  <c r="N60" i="7" s="1"/>
  <c r="L50" i="12" l="1"/>
  <c r="L49" i="12"/>
  <c r="L48" i="12"/>
  <c r="L47" i="12"/>
  <c r="L46" i="12"/>
  <c r="L45" i="12"/>
  <c r="L44" i="12"/>
  <c r="AH115" i="8"/>
  <c r="AM115" i="8" s="1"/>
  <c r="AH114" i="8"/>
  <c r="AM114" i="8" s="1"/>
  <c r="AH106" i="8"/>
  <c r="AM106" i="8" s="1"/>
  <c r="AH107" i="8"/>
  <c r="AM107" i="8" s="1"/>
  <c r="AH102" i="8"/>
  <c r="AM102" i="8" s="1"/>
  <c r="AH103" i="8"/>
  <c r="AM103" i="8" s="1"/>
  <c r="L31" i="12"/>
  <c r="L32" i="12"/>
  <c r="L33" i="12"/>
  <c r="L34" i="12"/>
  <c r="L35" i="12"/>
  <c r="L36" i="12"/>
  <c r="L37" i="12"/>
  <c r="L38" i="12"/>
  <c r="L30" i="12"/>
  <c r="Q30" i="12" s="1"/>
  <c r="L39" i="7"/>
  <c r="O23" i="10"/>
  <c r="O22" i="10"/>
  <c r="O12" i="10"/>
  <c r="AK26" i="8"/>
  <c r="AK25" i="8"/>
  <c r="AK23" i="8"/>
  <c r="O8" i="10"/>
  <c r="H14" i="3"/>
  <c r="H13" i="3"/>
  <c r="H18" i="3"/>
  <c r="H85" i="14" l="1"/>
  <c r="E78" i="14"/>
  <c r="I56" i="21" l="1"/>
  <c r="E13" i="14" l="1"/>
  <c r="E14" i="14"/>
  <c r="B41" i="15"/>
  <c r="I35" i="15" l="1"/>
  <c r="J40" i="14"/>
  <c r="H18" i="14"/>
  <c r="H13" i="14"/>
  <c r="H14" i="14"/>
  <c r="E71" i="14"/>
  <c r="E70" i="14"/>
  <c r="E69" i="18"/>
  <c r="E5" i="14"/>
  <c r="I50" i="24" l="1"/>
  <c r="I49" i="24"/>
  <c r="I48" i="24"/>
  <c r="I47" i="24"/>
  <c r="I46" i="24"/>
  <c r="I45" i="24"/>
  <c r="B12" i="14" l="1"/>
  <c r="H46" i="3" l="1"/>
  <c r="I15" i="3" l="1"/>
  <c r="I14" i="3"/>
  <c r="I13" i="3"/>
  <c r="F15" i="3"/>
  <c r="I20" i="3"/>
  <c r="I19" i="3"/>
  <c r="I18" i="3"/>
  <c r="I17" i="3"/>
  <c r="F22" i="3"/>
  <c r="I23" i="3"/>
  <c r="I22" i="3"/>
  <c r="I21" i="3"/>
  <c r="F22" i="14" l="1"/>
  <c r="D10" i="14"/>
  <c r="I29" i="14"/>
  <c r="I28" i="14"/>
  <c r="I27" i="14"/>
  <c r="I22" i="14"/>
  <c r="I18" i="14"/>
  <c r="I14" i="14"/>
  <c r="I15" i="14"/>
  <c r="I13" i="14"/>
  <c r="F15" i="14"/>
  <c r="K41" i="12" l="1"/>
  <c r="K27" i="12"/>
  <c r="E83" i="3"/>
  <c r="E81" i="3"/>
  <c r="D72" i="14" l="1"/>
  <c r="C72" i="14" l="1"/>
  <c r="B72" i="14"/>
  <c r="H77" i="3" l="1"/>
  <c r="H92" i="3"/>
  <c r="J22" i="3"/>
  <c r="J137" i="3"/>
  <c r="J136" i="3"/>
  <c r="J135" i="3" s="1"/>
  <c r="J133" i="3"/>
  <c r="J132" i="3"/>
  <c r="J131" i="3"/>
  <c r="J130" i="3"/>
  <c r="J115" i="3"/>
  <c r="J114" i="3" s="1"/>
  <c r="J113" i="3"/>
  <c r="J112" i="3"/>
  <c r="J111" i="3"/>
  <c r="J110" i="3" s="1"/>
  <c r="J109" i="3"/>
  <c r="J108" i="3"/>
  <c r="J107" i="3"/>
  <c r="J103" i="3"/>
  <c r="J101" i="3" s="1"/>
  <c r="J102" i="3"/>
  <c r="J91" i="3"/>
  <c r="J90" i="3"/>
  <c r="J82" i="3"/>
  <c r="J81" i="3"/>
  <c r="J80" i="3"/>
  <c r="J62" i="3"/>
  <c r="J61" i="3"/>
  <c r="J60" i="3"/>
  <c r="J59" i="3"/>
  <c r="J58" i="3"/>
  <c r="J55" i="3"/>
  <c r="J44" i="3"/>
  <c r="J29" i="3"/>
  <c r="J27" i="3"/>
  <c r="J15" i="3"/>
  <c r="L43" i="10" l="1"/>
  <c r="L44" i="10"/>
  <c r="L45" i="10"/>
  <c r="E48" i="10"/>
  <c r="AH98" i="8"/>
  <c r="AH99" i="8"/>
  <c r="AM99" i="8" s="1"/>
  <c r="AH100" i="8"/>
  <c r="AM100" i="8" s="1"/>
  <c r="AH101" i="8"/>
  <c r="AM101" i="8" s="1"/>
  <c r="J110" i="8"/>
  <c r="E110" i="8"/>
  <c r="F110" i="8"/>
  <c r="AH67" i="8" l="1"/>
  <c r="AM67" i="8" s="1"/>
  <c r="AH68" i="8"/>
  <c r="AM68" i="8" s="1"/>
  <c r="AH69" i="8"/>
  <c r="AM69" i="8" s="1"/>
  <c r="AH70" i="8"/>
  <c r="AM70" i="8" s="1"/>
  <c r="AH71" i="8"/>
  <c r="AM71" i="8" s="1"/>
  <c r="AH72" i="8"/>
  <c r="AM72" i="8" s="1"/>
  <c r="AH73" i="8"/>
  <c r="AM73" i="8" s="1"/>
  <c r="L24" i="12"/>
  <c r="L23" i="12"/>
  <c r="L22" i="12"/>
  <c r="Q22" i="12" s="1"/>
  <c r="L21" i="12"/>
  <c r="L20" i="12"/>
  <c r="L19" i="12"/>
  <c r="Q19" i="12" s="1"/>
  <c r="H129" i="3"/>
  <c r="H121" i="3"/>
  <c r="H120" i="3" s="1"/>
  <c r="H119" i="3" s="1"/>
  <c r="H117" i="3"/>
  <c r="H115" i="3"/>
  <c r="H113" i="3"/>
  <c r="H111" i="3"/>
  <c r="H109" i="3"/>
  <c r="H105" i="3"/>
  <c r="H102" i="3"/>
  <c r="H101" i="3"/>
  <c r="H100" i="3" s="1"/>
  <c r="H99" i="3" s="1"/>
  <c r="H63" i="3"/>
  <c r="H38" i="3" s="1"/>
  <c r="H37" i="3" s="1"/>
  <c r="H51" i="3"/>
  <c r="H47" i="3"/>
  <c r="H39" i="3"/>
  <c r="H25" i="3"/>
  <c r="H24" i="3" s="1"/>
  <c r="H16" i="3"/>
  <c r="H15" i="3"/>
  <c r="H12" i="3"/>
  <c r="H11" i="3" s="1"/>
  <c r="H10" i="3" s="1"/>
  <c r="H9" i="3" s="1"/>
  <c r="J129" i="13"/>
  <c r="I129" i="13"/>
  <c r="H129" i="13"/>
  <c r="G129" i="13"/>
  <c r="F129" i="13"/>
  <c r="E129" i="13"/>
  <c r="J119" i="13"/>
  <c r="I119" i="13"/>
  <c r="H119" i="13"/>
  <c r="G119" i="13"/>
  <c r="F119" i="13"/>
  <c r="E119" i="13"/>
  <c r="J109" i="13"/>
  <c r="I109" i="13"/>
  <c r="H109" i="13"/>
  <c r="G109" i="13"/>
  <c r="F109" i="13"/>
  <c r="E109" i="13"/>
  <c r="J99" i="13"/>
  <c r="I99" i="13"/>
  <c r="H99" i="13"/>
  <c r="G99" i="13"/>
  <c r="F99" i="13"/>
  <c r="E99" i="13"/>
  <c r="J89" i="13"/>
  <c r="I89" i="13"/>
  <c r="H89" i="13"/>
  <c r="G89" i="13"/>
  <c r="F89" i="13"/>
  <c r="E89" i="13"/>
  <c r="J79" i="13"/>
  <c r="I79" i="13"/>
  <c r="H79" i="13"/>
  <c r="G79" i="13"/>
  <c r="F79" i="13"/>
  <c r="E79" i="13"/>
  <c r="J69" i="13"/>
  <c r="I69" i="13"/>
  <c r="H69" i="13"/>
  <c r="G69" i="13"/>
  <c r="F69" i="13"/>
  <c r="E69" i="13"/>
  <c r="J59" i="13"/>
  <c r="I59" i="13"/>
  <c r="H59" i="13"/>
  <c r="G59" i="13"/>
  <c r="F59" i="13"/>
  <c r="E59" i="13"/>
  <c r="J49" i="13"/>
  <c r="I49" i="13"/>
  <c r="H49" i="13"/>
  <c r="G49" i="13"/>
  <c r="F49" i="13"/>
  <c r="E49" i="13"/>
  <c r="J39" i="13"/>
  <c r="I39" i="13"/>
  <c r="H39" i="13"/>
  <c r="G39" i="13"/>
  <c r="F39" i="13"/>
  <c r="E39" i="13"/>
  <c r="J29" i="13"/>
  <c r="I29" i="13"/>
  <c r="H29" i="13"/>
  <c r="G29" i="13"/>
  <c r="F29" i="13"/>
  <c r="E29" i="13"/>
  <c r="I20" i="13"/>
  <c r="I30" i="13" s="1"/>
  <c r="I40" i="13" s="1"/>
  <c r="I50" i="13" s="1"/>
  <c r="I60" i="13" s="1"/>
  <c r="I70" i="13" s="1"/>
  <c r="I80" i="13" s="1"/>
  <c r="I90" i="13" s="1"/>
  <c r="I100" i="13" s="1"/>
  <c r="I110" i="13" s="1"/>
  <c r="I120" i="13" s="1"/>
  <c r="I130" i="13" s="1"/>
  <c r="H20" i="13"/>
  <c r="H30" i="13" s="1"/>
  <c r="H40" i="13" s="1"/>
  <c r="H50" i="13" s="1"/>
  <c r="H60" i="13" s="1"/>
  <c r="H70" i="13" s="1"/>
  <c r="H80" i="13" s="1"/>
  <c r="H90" i="13" s="1"/>
  <c r="H100" i="13" s="1"/>
  <c r="H110" i="13" s="1"/>
  <c r="H120" i="13" s="1"/>
  <c r="H130" i="13" s="1"/>
  <c r="G20" i="13"/>
  <c r="G30" i="13" s="1"/>
  <c r="G40" i="13" s="1"/>
  <c r="G50" i="13" s="1"/>
  <c r="G60" i="13" s="1"/>
  <c r="G70" i="13" s="1"/>
  <c r="G80" i="13" s="1"/>
  <c r="G90" i="13" s="1"/>
  <c r="G100" i="13" s="1"/>
  <c r="G110" i="13" s="1"/>
  <c r="G120" i="13" s="1"/>
  <c r="G130" i="13" s="1"/>
  <c r="J19" i="13"/>
  <c r="I19" i="13"/>
  <c r="H19" i="13"/>
  <c r="G19" i="13"/>
  <c r="F19" i="13"/>
  <c r="F20" i="13" s="1"/>
  <c r="E19" i="13"/>
  <c r="E20" i="13" s="1"/>
  <c r="E30" i="13" s="1"/>
  <c r="E40" i="13" s="1"/>
  <c r="E50" i="13" s="1"/>
  <c r="E60" i="13" s="1"/>
  <c r="E70" i="13" s="1"/>
  <c r="E80" i="13" s="1"/>
  <c r="E90" i="13" s="1"/>
  <c r="E100" i="13" s="1"/>
  <c r="E110" i="13" s="1"/>
  <c r="E120" i="13" s="1"/>
  <c r="E130" i="13" s="1"/>
  <c r="J7" i="13"/>
  <c r="I4" i="13"/>
  <c r="I21" i="13" s="1"/>
  <c r="I31" i="13" s="1"/>
  <c r="I41" i="13" s="1"/>
  <c r="I51" i="13" s="1"/>
  <c r="I61" i="13" s="1"/>
  <c r="I71" i="13" s="1"/>
  <c r="I81" i="13" s="1"/>
  <c r="I91" i="13" s="1"/>
  <c r="I101" i="13" s="1"/>
  <c r="I111" i="13" s="1"/>
  <c r="I121" i="13" s="1"/>
  <c r="I131" i="13" s="1"/>
  <c r="H4" i="13"/>
  <c r="H21" i="13" s="1"/>
  <c r="H31" i="13" s="1"/>
  <c r="H41" i="13" s="1"/>
  <c r="H51" i="13" s="1"/>
  <c r="H61" i="13" s="1"/>
  <c r="H71" i="13" s="1"/>
  <c r="H81" i="13" s="1"/>
  <c r="H91" i="13" s="1"/>
  <c r="H101" i="13" s="1"/>
  <c r="H111" i="13" s="1"/>
  <c r="H121" i="13" s="1"/>
  <c r="H131" i="13" s="1"/>
  <c r="G4" i="13"/>
  <c r="G21" i="13" s="1"/>
  <c r="G31" i="13" s="1"/>
  <c r="G41" i="13" s="1"/>
  <c r="G51" i="13" s="1"/>
  <c r="G61" i="13" s="1"/>
  <c r="G71" i="13" s="1"/>
  <c r="G81" i="13" s="1"/>
  <c r="G91" i="13" s="1"/>
  <c r="G101" i="13" s="1"/>
  <c r="G111" i="13" s="1"/>
  <c r="G121" i="13" s="1"/>
  <c r="G131" i="13" s="1"/>
  <c r="F4" i="13"/>
  <c r="F21" i="13" s="1"/>
  <c r="F31" i="13" s="1"/>
  <c r="F41" i="13" s="1"/>
  <c r="F51" i="13" s="1"/>
  <c r="F61" i="13" s="1"/>
  <c r="F71" i="13" s="1"/>
  <c r="F81" i="13" s="1"/>
  <c r="F91" i="13" s="1"/>
  <c r="F101" i="13" s="1"/>
  <c r="F111" i="13" s="1"/>
  <c r="F121" i="13" s="1"/>
  <c r="F131" i="13" s="1"/>
  <c r="E4" i="13"/>
  <c r="E21" i="13" s="1"/>
  <c r="E31" i="13" s="1"/>
  <c r="J3" i="13"/>
  <c r="Q50" i="12"/>
  <c r="Q49" i="12"/>
  <c r="Q48" i="12"/>
  <c r="Q47" i="12"/>
  <c r="Q46" i="12"/>
  <c r="Q45" i="12"/>
  <c r="Q44" i="12"/>
  <c r="L43" i="12"/>
  <c r="Q43" i="12" s="1"/>
  <c r="K40" i="12"/>
  <c r="J40" i="12"/>
  <c r="I40" i="12"/>
  <c r="H40" i="12"/>
  <c r="G40" i="12"/>
  <c r="F40" i="12"/>
  <c r="E40" i="12"/>
  <c r="Q39" i="12"/>
  <c r="Q38" i="12"/>
  <c r="Q37" i="12"/>
  <c r="Q36" i="12"/>
  <c r="Q35" i="12"/>
  <c r="Q34" i="12"/>
  <c r="Q33" i="12"/>
  <c r="Q32" i="12"/>
  <c r="Q31" i="12"/>
  <c r="L29" i="12"/>
  <c r="K26" i="12"/>
  <c r="J26" i="12"/>
  <c r="I26" i="12"/>
  <c r="H26" i="12"/>
  <c r="L26" i="12" s="1"/>
  <c r="Q26" i="12" s="1"/>
  <c r="G26" i="12"/>
  <c r="F26" i="12"/>
  <c r="E26" i="12"/>
  <c r="Q25" i="12"/>
  <c r="Q24" i="12"/>
  <c r="Q23" i="12"/>
  <c r="Q21" i="12"/>
  <c r="Q20" i="12"/>
  <c r="Q18" i="12"/>
  <c r="L18" i="12"/>
  <c r="K16" i="12"/>
  <c r="J16" i="12"/>
  <c r="J27" i="12" s="1"/>
  <c r="J41" i="12" s="1"/>
  <c r="I16" i="12"/>
  <c r="I27" i="12" s="1"/>
  <c r="I41" i="12" s="1"/>
  <c r="E16" i="12"/>
  <c r="E27" i="12" s="1"/>
  <c r="L15" i="12"/>
  <c r="K15" i="12"/>
  <c r="J15" i="12"/>
  <c r="I15" i="12"/>
  <c r="H15" i="12"/>
  <c r="H16" i="12" s="1"/>
  <c r="H27" i="12" s="1"/>
  <c r="H41" i="12" s="1"/>
  <c r="G15" i="12"/>
  <c r="F15" i="12"/>
  <c r="E15" i="12"/>
  <c r="L14" i="12"/>
  <c r="Q14" i="12" s="1"/>
  <c r="L13" i="12"/>
  <c r="Q13" i="12" s="1"/>
  <c r="Q12" i="12"/>
  <c r="L12" i="12"/>
  <c r="Q11" i="12"/>
  <c r="L11" i="12"/>
  <c r="L10" i="12"/>
  <c r="Q10" i="12" s="1"/>
  <c r="Q9" i="12"/>
  <c r="L9" i="12"/>
  <c r="L8" i="12"/>
  <c r="Q8" i="12" s="1"/>
  <c r="L7" i="12"/>
  <c r="Q7" i="12" s="1"/>
  <c r="L6" i="12"/>
  <c r="P4" i="12"/>
  <c r="K4" i="12"/>
  <c r="J4" i="12"/>
  <c r="J17" i="12" s="1"/>
  <c r="J28" i="12" s="1"/>
  <c r="J42" i="12" s="1"/>
  <c r="I4" i="12"/>
  <c r="I17" i="12" s="1"/>
  <c r="I28" i="12" s="1"/>
  <c r="I42" i="12" s="1"/>
  <c r="H4" i="12"/>
  <c r="H17" i="12" s="1"/>
  <c r="H28" i="12" s="1"/>
  <c r="H42" i="12" s="1"/>
  <c r="G4" i="12"/>
  <c r="F4" i="12"/>
  <c r="E4" i="12"/>
  <c r="L3" i="12"/>
  <c r="N124" i="11"/>
  <c r="M124" i="11"/>
  <c r="L124" i="11"/>
  <c r="K124" i="11"/>
  <c r="J124" i="11"/>
  <c r="I124" i="11"/>
  <c r="G124" i="11"/>
  <c r="F124" i="11"/>
  <c r="O124" i="11" s="1"/>
  <c r="E124" i="11"/>
  <c r="N112" i="11"/>
  <c r="M112" i="11"/>
  <c r="L112" i="11"/>
  <c r="K112" i="11"/>
  <c r="J112" i="11"/>
  <c r="I112" i="11"/>
  <c r="G112" i="11"/>
  <c r="F112" i="11"/>
  <c r="O112" i="11" s="1"/>
  <c r="E112" i="11"/>
  <c r="N100" i="11"/>
  <c r="M100" i="11"/>
  <c r="L100" i="11"/>
  <c r="K100" i="11"/>
  <c r="J100" i="11"/>
  <c r="I100" i="11"/>
  <c r="O100" i="11" s="1"/>
  <c r="G100" i="11"/>
  <c r="F100" i="11"/>
  <c r="E100" i="11"/>
  <c r="N88" i="11"/>
  <c r="M88" i="11"/>
  <c r="L88" i="11"/>
  <c r="K88" i="11"/>
  <c r="J88" i="11"/>
  <c r="I88" i="11"/>
  <c r="G88" i="11"/>
  <c r="F88" i="11"/>
  <c r="E88" i="11"/>
  <c r="O88" i="11" s="1"/>
  <c r="N79" i="11"/>
  <c r="M79" i="11"/>
  <c r="L79" i="11"/>
  <c r="K79" i="11"/>
  <c r="J79" i="11"/>
  <c r="I79" i="11"/>
  <c r="G79" i="11"/>
  <c r="F79" i="11"/>
  <c r="O79" i="11" s="1"/>
  <c r="E79" i="11"/>
  <c r="N68" i="11"/>
  <c r="M68" i="11"/>
  <c r="L68" i="11"/>
  <c r="K68" i="11"/>
  <c r="J68" i="11"/>
  <c r="I68" i="11"/>
  <c r="G68" i="11"/>
  <c r="F68" i="11"/>
  <c r="E68" i="11"/>
  <c r="O68" i="11" s="1"/>
  <c r="N59" i="11"/>
  <c r="M59" i="11"/>
  <c r="L59" i="11"/>
  <c r="K59" i="11"/>
  <c r="J59" i="11"/>
  <c r="I59" i="11"/>
  <c r="G59" i="11"/>
  <c r="F59" i="11"/>
  <c r="E59" i="11"/>
  <c r="O59" i="11" s="1"/>
  <c r="N50" i="11"/>
  <c r="M50" i="11"/>
  <c r="L50" i="11"/>
  <c r="K50" i="11"/>
  <c r="J50" i="11"/>
  <c r="I50" i="11"/>
  <c r="G50" i="11"/>
  <c r="F50" i="11"/>
  <c r="E50" i="11"/>
  <c r="O50" i="11" s="1"/>
  <c r="N41" i="11"/>
  <c r="M41" i="11"/>
  <c r="L41" i="11"/>
  <c r="K41" i="11"/>
  <c r="J41" i="11"/>
  <c r="I41" i="11"/>
  <c r="G41" i="11"/>
  <c r="F41" i="11"/>
  <c r="E41" i="11"/>
  <c r="O41" i="11" s="1"/>
  <c r="O32" i="11"/>
  <c r="N32" i="11"/>
  <c r="M32" i="11"/>
  <c r="L32" i="11"/>
  <c r="K32" i="11"/>
  <c r="J32" i="11"/>
  <c r="I32" i="11"/>
  <c r="G32" i="11"/>
  <c r="F32" i="11"/>
  <c r="E32" i="11"/>
  <c r="K23" i="11"/>
  <c r="K34" i="11" s="1"/>
  <c r="K43" i="11" s="1"/>
  <c r="K52" i="11" s="1"/>
  <c r="K61" i="11" s="1"/>
  <c r="K70" i="11" s="1"/>
  <c r="K81" i="11" s="1"/>
  <c r="K90" i="11" s="1"/>
  <c r="K102" i="11" s="1"/>
  <c r="K114" i="11" s="1"/>
  <c r="K126" i="11" s="1"/>
  <c r="N21" i="11"/>
  <c r="M21" i="11"/>
  <c r="L21" i="11"/>
  <c r="K21" i="11"/>
  <c r="J21" i="11"/>
  <c r="J22" i="11" s="1"/>
  <c r="J33" i="11" s="1"/>
  <c r="J42" i="11" s="1"/>
  <c r="J51" i="11" s="1"/>
  <c r="J60" i="11" s="1"/>
  <c r="J69" i="11" s="1"/>
  <c r="J80" i="11" s="1"/>
  <c r="J89" i="11" s="1"/>
  <c r="J101" i="11" s="1"/>
  <c r="J113" i="11" s="1"/>
  <c r="J125" i="11" s="1"/>
  <c r="I21" i="11"/>
  <c r="G21" i="11"/>
  <c r="F21" i="11"/>
  <c r="E21" i="11"/>
  <c r="O21" i="11" s="1"/>
  <c r="K14" i="11"/>
  <c r="H14" i="11"/>
  <c r="H23" i="11" s="1"/>
  <c r="H34" i="11" s="1"/>
  <c r="H43" i="11" s="1"/>
  <c r="H52" i="11" s="1"/>
  <c r="H61" i="11" s="1"/>
  <c r="H70" i="11" s="1"/>
  <c r="H81" i="11" s="1"/>
  <c r="H90" i="11" s="1"/>
  <c r="H102" i="11" s="1"/>
  <c r="H114" i="11" s="1"/>
  <c r="H126" i="11" s="1"/>
  <c r="F14" i="11"/>
  <c r="F23" i="11" s="1"/>
  <c r="F34" i="11" s="1"/>
  <c r="F43" i="11" s="1"/>
  <c r="F52" i="11" s="1"/>
  <c r="F61" i="11" s="1"/>
  <c r="F70" i="11" s="1"/>
  <c r="F81" i="11" s="1"/>
  <c r="F90" i="11" s="1"/>
  <c r="F102" i="11" s="1"/>
  <c r="F114" i="11" s="1"/>
  <c r="F126" i="11" s="1"/>
  <c r="E14" i="11"/>
  <c r="K13" i="11"/>
  <c r="K22" i="11" s="1"/>
  <c r="K33" i="11" s="1"/>
  <c r="K42" i="11" s="1"/>
  <c r="K51" i="11" s="1"/>
  <c r="K60" i="11" s="1"/>
  <c r="K69" i="11" s="1"/>
  <c r="K80" i="11" s="1"/>
  <c r="K89" i="11" s="1"/>
  <c r="K101" i="11" s="1"/>
  <c r="K113" i="11" s="1"/>
  <c r="K125" i="11" s="1"/>
  <c r="J13" i="11"/>
  <c r="F13" i="11"/>
  <c r="F22" i="11" s="1"/>
  <c r="F33" i="11" s="1"/>
  <c r="F42" i="11" s="1"/>
  <c r="F51" i="11" s="1"/>
  <c r="F60" i="11" s="1"/>
  <c r="F69" i="11" s="1"/>
  <c r="F80" i="11" s="1"/>
  <c r="F89" i="11" s="1"/>
  <c r="F101" i="11" s="1"/>
  <c r="F113" i="11" s="1"/>
  <c r="F125" i="11" s="1"/>
  <c r="O12" i="11"/>
  <c r="N12" i="11"/>
  <c r="N13" i="11" s="1"/>
  <c r="N22" i="11" s="1"/>
  <c r="N33" i="11" s="1"/>
  <c r="N42" i="11" s="1"/>
  <c r="N51" i="11" s="1"/>
  <c r="N60" i="11" s="1"/>
  <c r="N69" i="11" s="1"/>
  <c r="N80" i="11" s="1"/>
  <c r="N89" i="11" s="1"/>
  <c r="N101" i="11" s="1"/>
  <c r="N113" i="11" s="1"/>
  <c r="N125" i="11" s="1"/>
  <c r="M12" i="11"/>
  <c r="M13" i="11" s="1"/>
  <c r="M22" i="11" s="1"/>
  <c r="M33" i="11" s="1"/>
  <c r="M42" i="11" s="1"/>
  <c r="M51" i="11" s="1"/>
  <c r="M60" i="11" s="1"/>
  <c r="M69" i="11" s="1"/>
  <c r="M80" i="11" s="1"/>
  <c r="M89" i="11" s="1"/>
  <c r="M101" i="11" s="1"/>
  <c r="M113" i="11" s="1"/>
  <c r="M125" i="11" s="1"/>
  <c r="L12" i="11"/>
  <c r="L13" i="11" s="1"/>
  <c r="L22" i="11" s="1"/>
  <c r="L33" i="11" s="1"/>
  <c r="L42" i="11" s="1"/>
  <c r="L51" i="11" s="1"/>
  <c r="L60" i="11" s="1"/>
  <c r="L69" i="11" s="1"/>
  <c r="L80" i="11" s="1"/>
  <c r="L89" i="11" s="1"/>
  <c r="L101" i="11" s="1"/>
  <c r="L113" i="11" s="1"/>
  <c r="L125" i="11" s="1"/>
  <c r="K12" i="11"/>
  <c r="J12" i="11"/>
  <c r="J14" i="11" s="1"/>
  <c r="J23" i="11" s="1"/>
  <c r="J34" i="11" s="1"/>
  <c r="J43" i="11" s="1"/>
  <c r="J52" i="11" s="1"/>
  <c r="J61" i="11" s="1"/>
  <c r="J70" i="11" s="1"/>
  <c r="J81" i="11" s="1"/>
  <c r="J90" i="11" s="1"/>
  <c r="J102" i="11" s="1"/>
  <c r="J114" i="11" s="1"/>
  <c r="J126" i="11" s="1"/>
  <c r="I12" i="11"/>
  <c r="I13" i="11" s="1"/>
  <c r="I22" i="11" s="1"/>
  <c r="I33" i="11" s="1"/>
  <c r="I42" i="11" s="1"/>
  <c r="I51" i="11" s="1"/>
  <c r="I60" i="11" s="1"/>
  <c r="I69" i="11" s="1"/>
  <c r="I80" i="11" s="1"/>
  <c r="I89" i="11" s="1"/>
  <c r="I101" i="11" s="1"/>
  <c r="I113" i="11" s="1"/>
  <c r="I125" i="11" s="1"/>
  <c r="G12" i="11"/>
  <c r="G14" i="11" s="1"/>
  <c r="G23" i="11" s="1"/>
  <c r="G34" i="11" s="1"/>
  <c r="G43" i="11" s="1"/>
  <c r="G52" i="11" s="1"/>
  <c r="G61" i="11" s="1"/>
  <c r="G70" i="11" s="1"/>
  <c r="G81" i="11" s="1"/>
  <c r="G90" i="11" s="1"/>
  <c r="G102" i="11" s="1"/>
  <c r="G114" i="11" s="1"/>
  <c r="G126" i="11" s="1"/>
  <c r="F12" i="11"/>
  <c r="E12" i="11"/>
  <c r="E13" i="11" s="1"/>
  <c r="O4" i="11"/>
  <c r="O3" i="11"/>
  <c r="K174" i="10"/>
  <c r="J174" i="10"/>
  <c r="I174" i="10"/>
  <c r="H174" i="10"/>
  <c r="G174" i="10"/>
  <c r="F174" i="10"/>
  <c r="E174" i="10"/>
  <c r="L174" i="10" s="1"/>
  <c r="Q173" i="10"/>
  <c r="L173" i="10"/>
  <c r="L172" i="10"/>
  <c r="Q172" i="10" s="1"/>
  <c r="Q171" i="10"/>
  <c r="L171" i="10"/>
  <c r="L170" i="10"/>
  <c r="L169" i="10"/>
  <c r="Q169" i="10" s="1"/>
  <c r="Q168" i="10"/>
  <c r="L168" i="10"/>
  <c r="L167" i="10"/>
  <c r="Q167" i="10" s="1"/>
  <c r="Q166" i="10"/>
  <c r="L166" i="10"/>
  <c r="L165" i="10"/>
  <c r="Q165" i="10" s="1"/>
  <c r="L164" i="10"/>
  <c r="Q164" i="10" s="1"/>
  <c r="L163" i="10"/>
  <c r="L160" i="10"/>
  <c r="K160" i="10"/>
  <c r="J160" i="10"/>
  <c r="I160" i="10"/>
  <c r="H160" i="10"/>
  <c r="G160" i="10"/>
  <c r="F160" i="10"/>
  <c r="E160" i="10"/>
  <c r="Q159" i="10"/>
  <c r="L159" i="10"/>
  <c r="L158" i="10"/>
  <c r="Q158" i="10" s="1"/>
  <c r="Q157" i="10"/>
  <c r="L157" i="10"/>
  <c r="L156" i="10"/>
  <c r="L155" i="10"/>
  <c r="Q155" i="10" s="1"/>
  <c r="L154" i="10"/>
  <c r="Q154" i="10" s="1"/>
  <c r="L153" i="10"/>
  <c r="Q153" i="10" s="1"/>
  <c r="Q152" i="10"/>
  <c r="L152" i="10"/>
  <c r="L151" i="10"/>
  <c r="Q151" i="10" s="1"/>
  <c r="Q150" i="10"/>
  <c r="L150" i="10"/>
  <c r="L149" i="10"/>
  <c r="K146" i="10"/>
  <c r="J146" i="10"/>
  <c r="I146" i="10"/>
  <c r="H146" i="10"/>
  <c r="L146" i="10" s="1"/>
  <c r="G146" i="10"/>
  <c r="F146" i="10"/>
  <c r="E146" i="10"/>
  <c r="Q145" i="10"/>
  <c r="L145" i="10"/>
  <c r="Q144" i="10"/>
  <c r="L144" i="10"/>
  <c r="Q143" i="10"/>
  <c r="L143" i="10"/>
  <c r="L142" i="10"/>
  <c r="L141" i="10"/>
  <c r="Q141" i="10" s="1"/>
  <c r="Q140" i="10"/>
  <c r="L140" i="10"/>
  <c r="L139" i="10"/>
  <c r="Q139" i="10" s="1"/>
  <c r="L138" i="10"/>
  <c r="Q138" i="10" s="1"/>
  <c r="L137" i="10"/>
  <c r="Q137" i="10" s="1"/>
  <c r="Q136" i="10"/>
  <c r="L136" i="10"/>
  <c r="L135" i="10"/>
  <c r="K132" i="10"/>
  <c r="J132" i="10"/>
  <c r="I132" i="10"/>
  <c r="H132" i="10"/>
  <c r="G132" i="10"/>
  <c r="F132" i="10"/>
  <c r="E132" i="10"/>
  <c r="L132" i="10" s="1"/>
  <c r="Q131" i="10"/>
  <c r="L131" i="10"/>
  <c r="L130" i="10"/>
  <c r="Q130" i="10" s="1"/>
  <c r="Q129" i="10"/>
  <c r="L129" i="10"/>
  <c r="L128" i="10"/>
  <c r="L127" i="10"/>
  <c r="Q127" i="10" s="1"/>
  <c r="Q126" i="10"/>
  <c r="L126" i="10"/>
  <c r="L125" i="10"/>
  <c r="Q125" i="10" s="1"/>
  <c r="Q124" i="10"/>
  <c r="L124" i="10"/>
  <c r="L123" i="10"/>
  <c r="Q123" i="10" s="1"/>
  <c r="L122" i="10"/>
  <c r="Q122" i="10" s="1"/>
  <c r="L121" i="10"/>
  <c r="L118" i="10"/>
  <c r="K118" i="10"/>
  <c r="J118" i="10"/>
  <c r="I118" i="10"/>
  <c r="H118" i="10"/>
  <c r="G118" i="10"/>
  <c r="F118" i="10"/>
  <c r="E118" i="10"/>
  <c r="Q117" i="10"/>
  <c r="L117" i="10"/>
  <c r="L116" i="10"/>
  <c r="Q116" i="10" s="1"/>
  <c r="Q115" i="10"/>
  <c r="L115" i="10"/>
  <c r="L114" i="10"/>
  <c r="L113" i="10"/>
  <c r="Q113" i="10" s="1"/>
  <c r="L112" i="10"/>
  <c r="Q112" i="10" s="1"/>
  <c r="L111" i="10"/>
  <c r="Q111" i="10" s="1"/>
  <c r="Q110" i="10"/>
  <c r="L110" i="10"/>
  <c r="L109" i="10"/>
  <c r="Q109" i="10" s="1"/>
  <c r="Q108" i="10"/>
  <c r="L108" i="10"/>
  <c r="L107" i="10"/>
  <c r="K104" i="10"/>
  <c r="J104" i="10"/>
  <c r="I104" i="10"/>
  <c r="H104" i="10"/>
  <c r="L104" i="10" s="1"/>
  <c r="G104" i="10"/>
  <c r="F104" i="10"/>
  <c r="E104" i="10"/>
  <c r="Q103" i="10"/>
  <c r="L103" i="10"/>
  <c r="Q102" i="10"/>
  <c r="L102" i="10"/>
  <c r="Q101" i="10"/>
  <c r="L101" i="10"/>
  <c r="L100" i="10"/>
  <c r="L99" i="10"/>
  <c r="Q99" i="10" s="1"/>
  <c r="Q98" i="10"/>
  <c r="L98" i="10"/>
  <c r="L97" i="10"/>
  <c r="Q97" i="10" s="1"/>
  <c r="L96" i="10"/>
  <c r="Q96" i="10" s="1"/>
  <c r="L95" i="10"/>
  <c r="Q95" i="10" s="1"/>
  <c r="Q94" i="10"/>
  <c r="L94" i="10"/>
  <c r="L93" i="10"/>
  <c r="K90" i="10"/>
  <c r="J90" i="10"/>
  <c r="I90" i="10"/>
  <c r="H90" i="10"/>
  <c r="G90" i="10"/>
  <c r="F90" i="10"/>
  <c r="E90" i="10"/>
  <c r="L90" i="10" s="1"/>
  <c r="Q89" i="10"/>
  <c r="L89" i="10"/>
  <c r="L88" i="10"/>
  <c r="Q88" i="10" s="1"/>
  <c r="Q87" i="10"/>
  <c r="L87" i="10"/>
  <c r="L86" i="10"/>
  <c r="L85" i="10"/>
  <c r="Q85" i="10" s="1"/>
  <c r="Q84" i="10"/>
  <c r="L84" i="10"/>
  <c r="L83" i="10"/>
  <c r="Q83" i="10" s="1"/>
  <c r="Q82" i="10"/>
  <c r="L82" i="10"/>
  <c r="L81" i="10"/>
  <c r="Q81" i="10" s="1"/>
  <c r="L80" i="10"/>
  <c r="Q80" i="10" s="1"/>
  <c r="L79" i="10"/>
  <c r="L76" i="10"/>
  <c r="K76" i="10"/>
  <c r="J76" i="10"/>
  <c r="I76" i="10"/>
  <c r="H76" i="10"/>
  <c r="G76" i="10"/>
  <c r="F76" i="10"/>
  <c r="E76" i="10"/>
  <c r="Q75" i="10"/>
  <c r="L75" i="10"/>
  <c r="L74" i="10"/>
  <c r="Q74" i="10" s="1"/>
  <c r="Q73" i="10"/>
  <c r="L73" i="10"/>
  <c r="L72" i="10"/>
  <c r="L71" i="10"/>
  <c r="Q71" i="10" s="1"/>
  <c r="L70" i="10"/>
  <c r="Q70" i="10" s="1"/>
  <c r="L69" i="10"/>
  <c r="Q69" i="10" s="1"/>
  <c r="Q68" i="10"/>
  <c r="L68" i="10"/>
  <c r="L67" i="10"/>
  <c r="Q67" i="10" s="1"/>
  <c r="L66" i="10"/>
  <c r="Q66" i="10" s="1"/>
  <c r="L65" i="10"/>
  <c r="Q65" i="10" s="1"/>
  <c r="K62" i="10"/>
  <c r="J62" i="10"/>
  <c r="I62" i="10"/>
  <c r="H62" i="10"/>
  <c r="G62" i="10"/>
  <c r="F62" i="10"/>
  <c r="E62" i="10"/>
  <c r="L61" i="10"/>
  <c r="Q61" i="10" s="1"/>
  <c r="L60" i="10"/>
  <c r="Q60" i="10" s="1"/>
  <c r="L59" i="10"/>
  <c r="Q59" i="10" s="1"/>
  <c r="L58" i="10"/>
  <c r="L57" i="10"/>
  <c r="Q57" i="10" s="1"/>
  <c r="L56" i="10"/>
  <c r="Q56" i="10" s="1"/>
  <c r="L55" i="10"/>
  <c r="Q55" i="10" s="1"/>
  <c r="L54" i="10"/>
  <c r="Q54" i="10" s="1"/>
  <c r="L53" i="10"/>
  <c r="Q53" i="10" s="1"/>
  <c r="L52" i="10"/>
  <c r="Q52" i="10" s="1"/>
  <c r="L51" i="10"/>
  <c r="Q51" i="10" s="1"/>
  <c r="K48" i="10"/>
  <c r="J48" i="10"/>
  <c r="J49" i="10" s="1"/>
  <c r="J63" i="10" s="1"/>
  <c r="J77" i="10" s="1"/>
  <c r="J91" i="10" s="1"/>
  <c r="J105" i="10" s="1"/>
  <c r="J119" i="10" s="1"/>
  <c r="J133" i="10" s="1"/>
  <c r="J147" i="10" s="1"/>
  <c r="J161" i="10" s="1"/>
  <c r="J175" i="10" s="1"/>
  <c r="I48" i="10"/>
  <c r="H48" i="10"/>
  <c r="G48" i="10"/>
  <c r="F48" i="10"/>
  <c r="L48" i="10" s="1"/>
  <c r="L47" i="10"/>
  <c r="Q47" i="10" s="1"/>
  <c r="L46" i="10"/>
  <c r="Q46" i="10" s="1"/>
  <c r="L42" i="10"/>
  <c r="Q42" i="10" s="1"/>
  <c r="L41" i="10"/>
  <c r="L40" i="10"/>
  <c r="Q40" i="10" s="1"/>
  <c r="L39" i="10"/>
  <c r="Q39" i="10" s="1"/>
  <c r="L38" i="10"/>
  <c r="Q38" i="10" s="1"/>
  <c r="L37" i="10"/>
  <c r="Q37" i="10" s="1"/>
  <c r="L36" i="10"/>
  <c r="Q36" i="10" s="1"/>
  <c r="L35" i="10"/>
  <c r="Q35" i="10" s="1"/>
  <c r="L34" i="10"/>
  <c r="Q34" i="10" s="1"/>
  <c r="J32" i="10"/>
  <c r="G32" i="10"/>
  <c r="K31" i="10"/>
  <c r="J31" i="10"/>
  <c r="I31" i="10"/>
  <c r="H31" i="10"/>
  <c r="G31" i="10"/>
  <c r="F31" i="10"/>
  <c r="E31" i="10"/>
  <c r="L31" i="10" s="1"/>
  <c r="L30" i="10"/>
  <c r="Q30" i="10" s="1"/>
  <c r="L29" i="10"/>
  <c r="Q29" i="10" s="1"/>
  <c r="L28" i="10"/>
  <c r="Q28" i="10" s="1"/>
  <c r="L27" i="10"/>
  <c r="L26" i="10"/>
  <c r="Q26" i="10" s="1"/>
  <c r="L25" i="10"/>
  <c r="Q25" i="10" s="1"/>
  <c r="L24" i="10"/>
  <c r="Q24" i="10" s="1"/>
  <c r="L23" i="10"/>
  <c r="Q23" i="10" s="1"/>
  <c r="L22" i="10"/>
  <c r="Q22" i="10" s="1"/>
  <c r="L21" i="10"/>
  <c r="Q21" i="10" s="1"/>
  <c r="L20" i="10"/>
  <c r="Q20" i="10" s="1"/>
  <c r="I19" i="10"/>
  <c r="I33" i="10" s="1"/>
  <c r="I50" i="10" s="1"/>
  <c r="I64" i="10" s="1"/>
  <c r="I78" i="10" s="1"/>
  <c r="I92" i="10" s="1"/>
  <c r="I106" i="10" s="1"/>
  <c r="I120" i="10" s="1"/>
  <c r="I134" i="10" s="1"/>
  <c r="I148" i="10" s="1"/>
  <c r="I162" i="10" s="1"/>
  <c r="I176" i="10" s="1"/>
  <c r="H19" i="10"/>
  <c r="H33" i="10" s="1"/>
  <c r="G19" i="10"/>
  <c r="G33" i="10" s="1"/>
  <c r="J18" i="10"/>
  <c r="H18" i="10"/>
  <c r="H32" i="10" s="1"/>
  <c r="G18" i="10"/>
  <c r="E18" i="10"/>
  <c r="E32" i="10" s="1"/>
  <c r="L17" i="10"/>
  <c r="K17" i="10"/>
  <c r="K18" i="10" s="1"/>
  <c r="K32" i="10" s="1"/>
  <c r="J17" i="10"/>
  <c r="J19" i="10" s="1"/>
  <c r="J33" i="10" s="1"/>
  <c r="J50" i="10" s="1"/>
  <c r="J64" i="10" s="1"/>
  <c r="J78" i="10" s="1"/>
  <c r="J92" i="10" s="1"/>
  <c r="J106" i="10" s="1"/>
  <c r="J120" i="10" s="1"/>
  <c r="J134" i="10" s="1"/>
  <c r="J148" i="10" s="1"/>
  <c r="J162" i="10" s="1"/>
  <c r="J176" i="10" s="1"/>
  <c r="I17" i="10"/>
  <c r="I18" i="10" s="1"/>
  <c r="I32" i="10" s="1"/>
  <c r="H17" i="10"/>
  <c r="G17" i="10"/>
  <c r="F17" i="10"/>
  <c r="F19" i="10" s="1"/>
  <c r="F33" i="10" s="1"/>
  <c r="F50" i="10" s="1"/>
  <c r="E17" i="10"/>
  <c r="E19" i="10" s="1"/>
  <c r="Q16" i="10"/>
  <c r="L16" i="10"/>
  <c r="L15" i="10"/>
  <c r="Q15" i="10" s="1"/>
  <c r="L14" i="10"/>
  <c r="Q14" i="10" s="1"/>
  <c r="L13" i="10"/>
  <c r="L12" i="10"/>
  <c r="Q12" i="10" s="1"/>
  <c r="L11" i="10"/>
  <c r="Q11" i="10" s="1"/>
  <c r="L10" i="10"/>
  <c r="Q10" i="10" s="1"/>
  <c r="L9" i="10"/>
  <c r="Q9" i="10" s="1"/>
  <c r="L8" i="10"/>
  <c r="Q8" i="10" s="1"/>
  <c r="Q7" i="10"/>
  <c r="L7" i="10"/>
  <c r="L6" i="10"/>
  <c r="P4" i="10"/>
  <c r="O4" i="10"/>
  <c r="L4" i="10"/>
  <c r="L3" i="10"/>
  <c r="S187" i="9"/>
  <c r="S186" i="9"/>
  <c r="S185" i="9"/>
  <c r="S184" i="9"/>
  <c r="S183" i="9"/>
  <c r="S182" i="9"/>
  <c r="S181" i="9"/>
  <c r="S180" i="9"/>
  <c r="S179" i="9"/>
  <c r="S178" i="9"/>
  <c r="S177" i="9"/>
  <c r="S176" i="9"/>
  <c r="S175" i="9"/>
  <c r="S174" i="9"/>
  <c r="M171" i="9"/>
  <c r="L171" i="9"/>
  <c r="K171" i="9"/>
  <c r="J171" i="9"/>
  <c r="I171" i="9"/>
  <c r="H171" i="9"/>
  <c r="G171" i="9"/>
  <c r="F171" i="9"/>
  <c r="E171" i="9"/>
  <c r="N170" i="9"/>
  <c r="S170" i="9" s="1"/>
  <c r="N169" i="9"/>
  <c r="S169" i="9" s="1"/>
  <c r="N168" i="9"/>
  <c r="S168" i="9" s="1"/>
  <c r="N167" i="9"/>
  <c r="S167" i="9" s="1"/>
  <c r="N166" i="9"/>
  <c r="S166" i="9" s="1"/>
  <c r="N165" i="9"/>
  <c r="S165" i="9" s="1"/>
  <c r="N164" i="9"/>
  <c r="S164" i="9" s="1"/>
  <c r="N163" i="9"/>
  <c r="S163" i="9" s="1"/>
  <c r="N162" i="9"/>
  <c r="S162" i="9" s="1"/>
  <c r="N161" i="9"/>
  <c r="S161" i="9" s="1"/>
  <c r="N160" i="9"/>
  <c r="S160" i="9" s="1"/>
  <c r="M157" i="9"/>
  <c r="L157" i="9"/>
  <c r="K157" i="9"/>
  <c r="J157" i="9"/>
  <c r="I157" i="9"/>
  <c r="H157" i="9"/>
  <c r="G157" i="9"/>
  <c r="F157" i="9"/>
  <c r="N157" i="9" s="1"/>
  <c r="S157" i="9" s="1"/>
  <c r="E157" i="9"/>
  <c r="S156" i="9"/>
  <c r="N156" i="9"/>
  <c r="N155" i="9"/>
  <c r="S155" i="9" s="1"/>
  <c r="N154" i="9"/>
  <c r="S154" i="9" s="1"/>
  <c r="N153" i="9"/>
  <c r="S153" i="9" s="1"/>
  <c r="N152" i="9"/>
  <c r="S152" i="9" s="1"/>
  <c r="N151" i="9"/>
  <c r="S151" i="9" s="1"/>
  <c r="N150" i="9"/>
  <c r="S150" i="9" s="1"/>
  <c r="N149" i="9"/>
  <c r="S149" i="9" s="1"/>
  <c r="N148" i="9"/>
  <c r="S148" i="9" s="1"/>
  <c r="N147" i="9"/>
  <c r="S147" i="9" s="1"/>
  <c r="N146" i="9"/>
  <c r="S146" i="9" s="1"/>
  <c r="M143" i="9"/>
  <c r="L143" i="9"/>
  <c r="K143" i="9"/>
  <c r="J143" i="9"/>
  <c r="I143" i="9"/>
  <c r="H143" i="9"/>
  <c r="G143" i="9"/>
  <c r="F143" i="9"/>
  <c r="E143" i="9"/>
  <c r="N142" i="9"/>
  <c r="S142" i="9" s="1"/>
  <c r="N141" i="9"/>
  <c r="S141" i="9" s="1"/>
  <c r="N140" i="9"/>
  <c r="S140" i="9" s="1"/>
  <c r="N139" i="9"/>
  <c r="S139" i="9" s="1"/>
  <c r="N138" i="9"/>
  <c r="S138" i="9" s="1"/>
  <c r="N137" i="9"/>
  <c r="S137" i="9" s="1"/>
  <c r="N136" i="9"/>
  <c r="S136" i="9" s="1"/>
  <c r="N135" i="9"/>
  <c r="S135" i="9" s="1"/>
  <c r="N134" i="9"/>
  <c r="S134" i="9" s="1"/>
  <c r="N133" i="9"/>
  <c r="S133" i="9" s="1"/>
  <c r="N132" i="9"/>
  <c r="S132" i="9" s="1"/>
  <c r="M129" i="9"/>
  <c r="L129" i="9"/>
  <c r="K129" i="9"/>
  <c r="J129" i="9"/>
  <c r="I129" i="9"/>
  <c r="H129" i="9"/>
  <c r="G129" i="9"/>
  <c r="F129" i="9"/>
  <c r="E129" i="9"/>
  <c r="N128" i="9"/>
  <c r="S128" i="9" s="1"/>
  <c r="N127" i="9"/>
  <c r="S127" i="9" s="1"/>
  <c r="N126" i="9"/>
  <c r="S126" i="9" s="1"/>
  <c r="N125" i="9"/>
  <c r="S125" i="9" s="1"/>
  <c r="N124" i="9"/>
  <c r="S124" i="9" s="1"/>
  <c r="N123" i="9"/>
  <c r="S123" i="9" s="1"/>
  <c r="N122" i="9"/>
  <c r="S122" i="9" s="1"/>
  <c r="N121" i="9"/>
  <c r="S121" i="9" s="1"/>
  <c r="N120" i="9"/>
  <c r="S120" i="9" s="1"/>
  <c r="S119" i="9"/>
  <c r="N119" i="9"/>
  <c r="S118" i="9"/>
  <c r="N118" i="9"/>
  <c r="M115" i="9"/>
  <c r="L115" i="9"/>
  <c r="K115" i="9"/>
  <c r="J115" i="9"/>
  <c r="I115" i="9"/>
  <c r="H115" i="9"/>
  <c r="G115" i="9"/>
  <c r="F115" i="9"/>
  <c r="E115" i="9"/>
  <c r="N115" i="9" s="1"/>
  <c r="S115" i="9" s="1"/>
  <c r="N114" i="9"/>
  <c r="S114" i="9" s="1"/>
  <c r="N113" i="9"/>
  <c r="S113" i="9" s="1"/>
  <c r="N112" i="9"/>
  <c r="S112" i="9" s="1"/>
  <c r="S111" i="9"/>
  <c r="N111" i="9"/>
  <c r="N110" i="9"/>
  <c r="S110" i="9" s="1"/>
  <c r="N109" i="9"/>
  <c r="S109" i="9" s="1"/>
  <c r="N108" i="9"/>
  <c r="S108" i="9" s="1"/>
  <c r="N107" i="9"/>
  <c r="S107" i="9" s="1"/>
  <c r="N106" i="9"/>
  <c r="S106" i="9" s="1"/>
  <c r="S105" i="9"/>
  <c r="N105" i="9"/>
  <c r="N104" i="9"/>
  <c r="M101" i="9"/>
  <c r="L101" i="9"/>
  <c r="K101" i="9"/>
  <c r="J101" i="9"/>
  <c r="I101" i="9"/>
  <c r="H101" i="9"/>
  <c r="G101" i="9"/>
  <c r="F101" i="9"/>
  <c r="N101" i="9" s="1"/>
  <c r="E101" i="9"/>
  <c r="S100" i="9"/>
  <c r="N100" i="9"/>
  <c r="N99" i="9"/>
  <c r="S99" i="9" s="1"/>
  <c r="N98" i="9"/>
  <c r="S98" i="9" s="1"/>
  <c r="N97" i="9"/>
  <c r="S97" i="9" s="1"/>
  <c r="N96" i="9"/>
  <c r="S96" i="9" s="1"/>
  <c r="N95" i="9"/>
  <c r="S95" i="9" s="1"/>
  <c r="N94" i="9"/>
  <c r="S94" i="9" s="1"/>
  <c r="N93" i="9"/>
  <c r="S93" i="9" s="1"/>
  <c r="N92" i="9"/>
  <c r="S92" i="9" s="1"/>
  <c r="N91" i="9"/>
  <c r="S91" i="9" s="1"/>
  <c r="N90" i="9"/>
  <c r="S90" i="9" s="1"/>
  <c r="M87" i="9"/>
  <c r="L87" i="9"/>
  <c r="K87" i="9"/>
  <c r="J87" i="9"/>
  <c r="I87" i="9"/>
  <c r="H87" i="9"/>
  <c r="G87" i="9"/>
  <c r="F87" i="9"/>
  <c r="E87" i="9"/>
  <c r="N86" i="9"/>
  <c r="S86" i="9" s="1"/>
  <c r="N85" i="9"/>
  <c r="S85" i="9" s="1"/>
  <c r="N84" i="9"/>
  <c r="S84" i="9" s="1"/>
  <c r="N83" i="9"/>
  <c r="S83" i="9" s="1"/>
  <c r="N82" i="9"/>
  <c r="S82" i="9" s="1"/>
  <c r="N81" i="9"/>
  <c r="S81" i="9" s="1"/>
  <c r="N80" i="9"/>
  <c r="S80" i="9" s="1"/>
  <c r="N79" i="9"/>
  <c r="S79" i="9" s="1"/>
  <c r="N78" i="9"/>
  <c r="S78" i="9" s="1"/>
  <c r="N77" i="9"/>
  <c r="S77" i="9" s="1"/>
  <c r="S76" i="9"/>
  <c r="N76" i="9"/>
  <c r="M73" i="9"/>
  <c r="L73" i="9"/>
  <c r="K73" i="9"/>
  <c r="J73" i="9"/>
  <c r="I73" i="9"/>
  <c r="H73" i="9"/>
  <c r="G73" i="9"/>
  <c r="F73" i="9"/>
  <c r="E73" i="9"/>
  <c r="N72" i="9"/>
  <c r="S72" i="9" s="1"/>
  <c r="N71" i="9"/>
  <c r="S71" i="9" s="1"/>
  <c r="N70" i="9"/>
  <c r="S70" i="9" s="1"/>
  <c r="N69" i="9"/>
  <c r="S69" i="9" s="1"/>
  <c r="N68" i="9"/>
  <c r="S68" i="9" s="1"/>
  <c r="N67" i="9"/>
  <c r="S67" i="9" s="1"/>
  <c r="N66" i="9"/>
  <c r="S66" i="9" s="1"/>
  <c r="N65" i="9"/>
  <c r="S65" i="9" s="1"/>
  <c r="N64" i="9"/>
  <c r="S64" i="9" s="1"/>
  <c r="S63" i="9"/>
  <c r="N63" i="9"/>
  <c r="N62" i="9"/>
  <c r="S62" i="9" s="1"/>
  <c r="M59" i="9"/>
  <c r="L59" i="9"/>
  <c r="K59" i="9"/>
  <c r="J59" i="9"/>
  <c r="I59" i="9"/>
  <c r="H59" i="9"/>
  <c r="G59" i="9"/>
  <c r="F59" i="9"/>
  <c r="E59" i="9"/>
  <c r="N58" i="9"/>
  <c r="S58" i="9" s="1"/>
  <c r="N57" i="9"/>
  <c r="S57" i="9" s="1"/>
  <c r="N56" i="9"/>
  <c r="S56" i="9" s="1"/>
  <c r="N55" i="9"/>
  <c r="S55" i="9" s="1"/>
  <c r="N54" i="9"/>
  <c r="S54" i="9" s="1"/>
  <c r="N53" i="9"/>
  <c r="S53" i="9" s="1"/>
  <c r="N52" i="9"/>
  <c r="S52" i="9" s="1"/>
  <c r="N51" i="9"/>
  <c r="S51" i="9" s="1"/>
  <c r="N50" i="9"/>
  <c r="S50" i="9" s="1"/>
  <c r="S49" i="9"/>
  <c r="N49" i="9"/>
  <c r="N48" i="9"/>
  <c r="S48" i="9" s="1"/>
  <c r="M45" i="9"/>
  <c r="L45" i="9"/>
  <c r="K45" i="9"/>
  <c r="J45" i="9"/>
  <c r="I45" i="9"/>
  <c r="H45" i="9"/>
  <c r="G45" i="9"/>
  <c r="F45" i="9"/>
  <c r="E45" i="9"/>
  <c r="N45" i="9" s="1"/>
  <c r="N44" i="9"/>
  <c r="S44" i="9" s="1"/>
  <c r="N43" i="9"/>
  <c r="S43" i="9" s="1"/>
  <c r="N42" i="9"/>
  <c r="S42" i="9" s="1"/>
  <c r="S41" i="9"/>
  <c r="N41" i="9"/>
  <c r="N40" i="9"/>
  <c r="S40" i="9" s="1"/>
  <c r="N39" i="9"/>
  <c r="S39" i="9" s="1"/>
  <c r="N38" i="9"/>
  <c r="S38" i="9" s="1"/>
  <c r="N37" i="9"/>
  <c r="S37" i="9" s="1"/>
  <c r="N36" i="9"/>
  <c r="S36" i="9" s="1"/>
  <c r="S35" i="9"/>
  <c r="N35" i="9"/>
  <c r="N34" i="9"/>
  <c r="S34" i="9" s="1"/>
  <c r="M31" i="9"/>
  <c r="L31" i="9"/>
  <c r="K31" i="9"/>
  <c r="J31" i="9"/>
  <c r="I31" i="9"/>
  <c r="H31" i="9"/>
  <c r="G31" i="9"/>
  <c r="F31" i="9"/>
  <c r="E31" i="9"/>
  <c r="N30" i="9"/>
  <c r="S30" i="9" s="1"/>
  <c r="N29" i="9"/>
  <c r="S29" i="9" s="1"/>
  <c r="N28" i="9"/>
  <c r="S28" i="9" s="1"/>
  <c r="S27" i="9"/>
  <c r="N27" i="9"/>
  <c r="N26" i="9"/>
  <c r="S26" i="9" s="1"/>
  <c r="N25" i="9"/>
  <c r="S25" i="9" s="1"/>
  <c r="N24" i="9"/>
  <c r="S24" i="9" s="1"/>
  <c r="N23" i="9"/>
  <c r="S23" i="9" s="1"/>
  <c r="N22" i="9"/>
  <c r="S22" i="9" s="1"/>
  <c r="S21" i="9"/>
  <c r="N21" i="9"/>
  <c r="N20" i="9"/>
  <c r="S20" i="9" s="1"/>
  <c r="K18" i="9"/>
  <c r="K32" i="9" s="1"/>
  <c r="K46" i="9" s="1"/>
  <c r="K60" i="9" s="1"/>
  <c r="K74" i="9" s="1"/>
  <c r="K88" i="9" s="1"/>
  <c r="K102" i="9" s="1"/>
  <c r="K116" i="9" s="1"/>
  <c r="K130" i="9" s="1"/>
  <c r="K144" i="9" s="1"/>
  <c r="K158" i="9" s="1"/>
  <c r="K172" i="9" s="1"/>
  <c r="G18" i="9"/>
  <c r="G32" i="9" s="1"/>
  <c r="M17" i="9"/>
  <c r="M19" i="9" s="1"/>
  <c r="M33" i="9" s="1"/>
  <c r="M47" i="9" s="1"/>
  <c r="L17" i="9"/>
  <c r="L18" i="9" s="1"/>
  <c r="L32" i="9" s="1"/>
  <c r="L46" i="9" s="1"/>
  <c r="K17" i="9"/>
  <c r="K19" i="9" s="1"/>
  <c r="K33" i="9" s="1"/>
  <c r="K47" i="9" s="1"/>
  <c r="J17" i="9"/>
  <c r="J18" i="9" s="1"/>
  <c r="J32" i="9" s="1"/>
  <c r="J46" i="9" s="1"/>
  <c r="I17" i="9"/>
  <c r="I18" i="9" s="1"/>
  <c r="I32" i="9" s="1"/>
  <c r="I46" i="9" s="1"/>
  <c r="I60" i="9" s="1"/>
  <c r="I74" i="9" s="1"/>
  <c r="I88" i="9" s="1"/>
  <c r="I102" i="9" s="1"/>
  <c r="I116" i="9" s="1"/>
  <c r="I130" i="9" s="1"/>
  <c r="I144" i="9" s="1"/>
  <c r="I158" i="9" s="1"/>
  <c r="I172" i="9" s="1"/>
  <c r="H17" i="9"/>
  <c r="H18" i="9" s="1"/>
  <c r="G17" i="9"/>
  <c r="G19" i="9" s="1"/>
  <c r="G33" i="9" s="1"/>
  <c r="F17" i="9"/>
  <c r="F18" i="9" s="1"/>
  <c r="E17" i="9"/>
  <c r="E18" i="9" s="1"/>
  <c r="N16" i="9"/>
  <c r="S16" i="9" s="1"/>
  <c r="S15" i="9"/>
  <c r="N15" i="9"/>
  <c r="S14" i="9"/>
  <c r="N14" i="9"/>
  <c r="N13" i="9"/>
  <c r="S13" i="9" s="1"/>
  <c r="N12" i="9"/>
  <c r="S12" i="9" s="1"/>
  <c r="N11" i="9"/>
  <c r="S11" i="9" s="1"/>
  <c r="N10" i="9"/>
  <c r="S10" i="9" s="1"/>
  <c r="S9" i="9"/>
  <c r="N9" i="9"/>
  <c r="N8" i="9"/>
  <c r="S8" i="9" s="1"/>
  <c r="N7" i="9"/>
  <c r="S7" i="9" s="1"/>
  <c r="N6" i="9"/>
  <c r="R4" i="9"/>
  <c r="Q4" i="9"/>
  <c r="N4" i="9"/>
  <c r="N3" i="9"/>
  <c r="AG335" i="8"/>
  <c r="AF335" i="8"/>
  <c r="AE335" i="8"/>
  <c r="AD335" i="8"/>
  <c r="AC335" i="8"/>
  <c r="AB335" i="8"/>
  <c r="AA335" i="8"/>
  <c r="Z335" i="8"/>
  <c r="Y335" i="8"/>
  <c r="X335" i="8"/>
  <c r="W335" i="8"/>
  <c r="V335" i="8"/>
  <c r="U335" i="8"/>
  <c r="T335" i="8"/>
  <c r="S335" i="8"/>
  <c r="R335" i="8"/>
  <c r="Q335" i="8"/>
  <c r="P335" i="8"/>
  <c r="O335" i="8"/>
  <c r="N335" i="8"/>
  <c r="M335" i="8"/>
  <c r="L335" i="8"/>
  <c r="K335" i="8"/>
  <c r="J335" i="8"/>
  <c r="I335" i="8"/>
  <c r="H335" i="8"/>
  <c r="G335" i="8"/>
  <c r="F335" i="8"/>
  <c r="E335" i="8"/>
  <c r="BA334" i="8"/>
  <c r="AH334" i="8"/>
  <c r="AM334" i="8" s="1"/>
  <c r="BA333" i="8"/>
  <c r="AH333" i="8"/>
  <c r="AM333" i="8" s="1"/>
  <c r="BA332" i="8"/>
  <c r="AH332" i="8"/>
  <c r="AM332" i="8" s="1"/>
  <c r="BA331" i="8"/>
  <c r="AH331" i="8"/>
  <c r="AM331" i="8" s="1"/>
  <c r="BA330" i="8"/>
  <c r="AH330" i="8"/>
  <c r="AM330" i="8" s="1"/>
  <c r="BA329" i="8"/>
  <c r="AH329" i="8"/>
  <c r="AM329" i="8" s="1"/>
  <c r="BA328" i="8"/>
  <c r="AM328" i="8"/>
  <c r="AH328" i="8"/>
  <c r="BA327" i="8"/>
  <c r="AH327" i="8"/>
  <c r="AM327" i="8" s="1"/>
  <c r="BA326" i="8"/>
  <c r="AH326" i="8"/>
  <c r="AM326" i="8" s="1"/>
  <c r="BA325" i="8"/>
  <c r="AH325" i="8"/>
  <c r="AM325" i="8" s="1"/>
  <c r="BA324" i="8"/>
  <c r="AM324" i="8"/>
  <c r="AH324" i="8"/>
  <c r="BA323" i="8"/>
  <c r="AH323" i="8"/>
  <c r="AM323" i="8" s="1"/>
  <c r="BA322" i="8"/>
  <c r="AH322" i="8"/>
  <c r="AM322" i="8" s="1"/>
  <c r="BA321" i="8"/>
  <c r="AH321" i="8"/>
  <c r="AM321" i="8" s="1"/>
  <c r="BA320" i="8"/>
  <c r="AM320" i="8"/>
  <c r="AH320" i="8"/>
  <c r="BA319" i="8"/>
  <c r="AH319" i="8"/>
  <c r="AM319" i="8" s="1"/>
  <c r="BA318" i="8"/>
  <c r="AH318" i="8"/>
  <c r="AM318" i="8" s="1"/>
  <c r="BA317" i="8"/>
  <c r="AH317" i="8"/>
  <c r="AM317" i="8" s="1"/>
  <c r="BA316" i="8"/>
  <c r="AM316" i="8"/>
  <c r="AH316" i="8"/>
  <c r="BA315" i="8"/>
  <c r="AH315" i="8"/>
  <c r="AM315" i="8" s="1"/>
  <c r="AM314" i="8"/>
  <c r="AG311" i="8"/>
  <c r="AF311" i="8"/>
  <c r="AE311" i="8"/>
  <c r="AD311" i="8"/>
  <c r="AC311" i="8"/>
  <c r="AB311" i="8"/>
  <c r="AA311" i="8"/>
  <c r="Z311" i="8"/>
  <c r="Y311" i="8"/>
  <c r="X311" i="8"/>
  <c r="W311" i="8"/>
  <c r="V311" i="8"/>
  <c r="U311" i="8"/>
  <c r="T311" i="8"/>
  <c r="S311" i="8"/>
  <c r="R311" i="8"/>
  <c r="Q311" i="8"/>
  <c r="P311" i="8"/>
  <c r="O311" i="8"/>
  <c r="N311" i="8"/>
  <c r="M311" i="8"/>
  <c r="L311" i="8"/>
  <c r="K311" i="8"/>
  <c r="J311" i="8"/>
  <c r="I311" i="8"/>
  <c r="H311" i="8"/>
  <c r="G311" i="8"/>
  <c r="F311" i="8"/>
  <c r="E311" i="8"/>
  <c r="BA310" i="8"/>
  <c r="AM310" i="8"/>
  <c r="AH310" i="8"/>
  <c r="BA309" i="8"/>
  <c r="AH309" i="8"/>
  <c r="AM309" i="8" s="1"/>
  <c r="BA308" i="8"/>
  <c r="AH308" i="8"/>
  <c r="AM308" i="8" s="1"/>
  <c r="BA307" i="8"/>
  <c r="AH307" i="8"/>
  <c r="AM307" i="8" s="1"/>
  <c r="BA306" i="8"/>
  <c r="AH306" i="8"/>
  <c r="AM306" i="8" s="1"/>
  <c r="BA305" i="8"/>
  <c r="AH305" i="8"/>
  <c r="AM305" i="8" s="1"/>
  <c r="BA304" i="8"/>
  <c r="AH304" i="8"/>
  <c r="AM304" i="8" s="1"/>
  <c r="BA303" i="8"/>
  <c r="AM303" i="8"/>
  <c r="AH303" i="8"/>
  <c r="BA302" i="8"/>
  <c r="AH302" i="8"/>
  <c r="AM302" i="8" s="1"/>
  <c r="BA301" i="8"/>
  <c r="AH301" i="8"/>
  <c r="AM301" i="8" s="1"/>
  <c r="BA300" i="8"/>
  <c r="AH300" i="8"/>
  <c r="AM300" i="8" s="1"/>
  <c r="BA299" i="8"/>
  <c r="AM299" i="8"/>
  <c r="AH299" i="8"/>
  <c r="BA298" i="8"/>
  <c r="AM298" i="8"/>
  <c r="AH298" i="8"/>
  <c r="BA297" i="8"/>
  <c r="AH297" i="8"/>
  <c r="AM297" i="8" s="1"/>
  <c r="BA296" i="8"/>
  <c r="AH296" i="8"/>
  <c r="AM296" i="8" s="1"/>
  <c r="BA295" i="8"/>
  <c r="AM295" i="8"/>
  <c r="AH295" i="8"/>
  <c r="BA294" i="8"/>
  <c r="AH294" i="8"/>
  <c r="AM294" i="8" s="1"/>
  <c r="BA293" i="8"/>
  <c r="AH293" i="8"/>
  <c r="AM293" i="8" s="1"/>
  <c r="BA292" i="8"/>
  <c r="AH292" i="8"/>
  <c r="AM292" i="8" s="1"/>
  <c r="BA291" i="8"/>
  <c r="AM291" i="8"/>
  <c r="AH291" i="8"/>
  <c r="AG287" i="8"/>
  <c r="AF287" i="8"/>
  <c r="AE287" i="8"/>
  <c r="AD287" i="8"/>
  <c r="AC287" i="8"/>
  <c r="AB287" i="8"/>
  <c r="AA287" i="8"/>
  <c r="Z287" i="8"/>
  <c r="Y287" i="8"/>
  <c r="X287" i="8"/>
  <c r="W287" i="8"/>
  <c r="V287" i="8"/>
  <c r="U287" i="8"/>
  <c r="T287" i="8"/>
  <c r="S287" i="8"/>
  <c r="R287" i="8"/>
  <c r="Q287" i="8"/>
  <c r="P287" i="8"/>
  <c r="O287" i="8"/>
  <c r="N287" i="8"/>
  <c r="M287" i="8"/>
  <c r="L287" i="8"/>
  <c r="K287" i="8"/>
  <c r="J287" i="8"/>
  <c r="I287" i="8"/>
  <c r="H287" i="8"/>
  <c r="G287" i="8"/>
  <c r="F287" i="8"/>
  <c r="E287" i="8"/>
  <c r="BA286" i="8"/>
  <c r="AH286" i="8"/>
  <c r="AM286" i="8" s="1"/>
  <c r="BA285" i="8"/>
  <c r="AM285" i="8"/>
  <c r="AH285" i="8"/>
  <c r="BA284" i="8"/>
  <c r="AH284" i="8"/>
  <c r="AM284" i="8" s="1"/>
  <c r="BA283" i="8"/>
  <c r="AH283" i="8"/>
  <c r="AM283" i="8" s="1"/>
  <c r="BA282" i="8"/>
  <c r="AH282" i="8"/>
  <c r="AM282" i="8" s="1"/>
  <c r="BA281" i="8"/>
  <c r="AM281" i="8"/>
  <c r="AH281" i="8"/>
  <c r="BA280" i="8"/>
  <c r="AH280" i="8"/>
  <c r="AM280" i="8" s="1"/>
  <c r="BA279" i="8"/>
  <c r="AH279" i="8"/>
  <c r="AM279" i="8" s="1"/>
  <c r="BA278" i="8"/>
  <c r="AH278" i="8"/>
  <c r="AM278" i="8" s="1"/>
  <c r="BA277" i="8"/>
  <c r="AM277" i="8"/>
  <c r="AH277" i="8"/>
  <c r="BA276" i="8"/>
  <c r="AH276" i="8"/>
  <c r="AM276" i="8" s="1"/>
  <c r="BA275" i="8"/>
  <c r="AH275" i="8"/>
  <c r="AM275" i="8" s="1"/>
  <c r="BA274" i="8"/>
  <c r="AH274" i="8"/>
  <c r="AM274" i="8" s="1"/>
  <c r="BA273" i="8"/>
  <c r="AM273" i="8"/>
  <c r="AH273" i="8"/>
  <c r="BA272" i="8"/>
  <c r="AH272" i="8"/>
  <c r="AM272" i="8" s="1"/>
  <c r="BA271" i="8"/>
  <c r="AH271" i="8"/>
  <c r="AM271" i="8" s="1"/>
  <c r="BA270" i="8"/>
  <c r="AH270" i="8"/>
  <c r="AM270" i="8" s="1"/>
  <c r="BA269" i="8"/>
  <c r="AM269" i="8"/>
  <c r="AH269" i="8"/>
  <c r="BA268" i="8"/>
  <c r="AH268" i="8"/>
  <c r="AM268" i="8" s="1"/>
  <c r="BA267" i="8"/>
  <c r="AH267" i="8"/>
  <c r="AM267" i="8" s="1"/>
  <c r="AG263" i="8"/>
  <c r="AF263" i="8"/>
  <c r="AE263" i="8"/>
  <c r="AD263" i="8"/>
  <c r="AC263" i="8"/>
  <c r="AB263" i="8"/>
  <c r="AA263" i="8"/>
  <c r="Z263" i="8"/>
  <c r="Y263" i="8"/>
  <c r="X263" i="8"/>
  <c r="W263" i="8"/>
  <c r="V263" i="8"/>
  <c r="U263" i="8"/>
  <c r="T263" i="8"/>
  <c r="S263" i="8"/>
  <c r="R263" i="8"/>
  <c r="Q263" i="8"/>
  <c r="P263" i="8"/>
  <c r="O263" i="8"/>
  <c r="N263" i="8"/>
  <c r="M263" i="8"/>
  <c r="L263" i="8"/>
  <c r="K263" i="8"/>
  <c r="J263" i="8"/>
  <c r="I263" i="8"/>
  <c r="H263" i="8"/>
  <c r="G263" i="8"/>
  <c r="F263" i="8"/>
  <c r="E263" i="8"/>
  <c r="AH263" i="8" s="1"/>
  <c r="BA262" i="8"/>
  <c r="AH262" i="8"/>
  <c r="AM262" i="8" s="1"/>
  <c r="BA261" i="8"/>
  <c r="AH261" i="8"/>
  <c r="AM261" i="8" s="1"/>
  <c r="BA260" i="8"/>
  <c r="AH260" i="8"/>
  <c r="AM260" i="8" s="1"/>
  <c r="BA259" i="8"/>
  <c r="AH259" i="8"/>
  <c r="AM259" i="8" s="1"/>
  <c r="BA258" i="8"/>
  <c r="AM258" i="8"/>
  <c r="AH258" i="8"/>
  <c r="BA257" i="8"/>
  <c r="AH257" i="8"/>
  <c r="AM257" i="8" s="1"/>
  <c r="BA256" i="8"/>
  <c r="AH256" i="8"/>
  <c r="AM256" i="8" s="1"/>
  <c r="BA255" i="8"/>
  <c r="AM255" i="8"/>
  <c r="AH255" i="8"/>
  <c r="BA254" i="8"/>
  <c r="AH254" i="8"/>
  <c r="AM254" i="8" s="1"/>
  <c r="BA253" i="8"/>
  <c r="AH253" i="8"/>
  <c r="AM253" i="8" s="1"/>
  <c r="BA252" i="8"/>
  <c r="AH252" i="8"/>
  <c r="AM252" i="8" s="1"/>
  <c r="BA251" i="8"/>
  <c r="AM251" i="8"/>
  <c r="AH251" i="8"/>
  <c r="BA250" i="8"/>
  <c r="AH250" i="8"/>
  <c r="AM250" i="8" s="1"/>
  <c r="BA249" i="8"/>
  <c r="AH249" i="8"/>
  <c r="AM249" i="8" s="1"/>
  <c r="BA248" i="8"/>
  <c r="AH248" i="8"/>
  <c r="AM248" i="8" s="1"/>
  <c r="BA247" i="8"/>
  <c r="AM247" i="8"/>
  <c r="AH247" i="8"/>
  <c r="BA246" i="8"/>
  <c r="AH246" i="8"/>
  <c r="AM246" i="8" s="1"/>
  <c r="BA245" i="8"/>
  <c r="AH245" i="8"/>
  <c r="AM245" i="8" s="1"/>
  <c r="BA244" i="8"/>
  <c r="AH244" i="8"/>
  <c r="AM244" i="8" s="1"/>
  <c r="BA243" i="8"/>
  <c r="AH243" i="8"/>
  <c r="AM243" i="8" s="1"/>
  <c r="AG239" i="8"/>
  <c r="AF239" i="8"/>
  <c r="AE239" i="8"/>
  <c r="AD239" i="8"/>
  <c r="AC239" i="8"/>
  <c r="AB239" i="8"/>
  <c r="AA239" i="8"/>
  <c r="Z239" i="8"/>
  <c r="Y239" i="8"/>
  <c r="X239" i="8"/>
  <c r="W239" i="8"/>
  <c r="V239" i="8"/>
  <c r="U239" i="8"/>
  <c r="T239" i="8"/>
  <c r="S239" i="8"/>
  <c r="R239" i="8"/>
  <c r="Q239" i="8"/>
  <c r="P239" i="8"/>
  <c r="O239" i="8"/>
  <c r="N239" i="8"/>
  <c r="M239" i="8"/>
  <c r="L239" i="8"/>
  <c r="K239" i="8"/>
  <c r="J239" i="8"/>
  <c r="AH239" i="8" s="1"/>
  <c r="I239" i="8"/>
  <c r="H239" i="8"/>
  <c r="G239" i="8"/>
  <c r="F239" i="8"/>
  <c r="E239" i="8"/>
  <c r="BA238" i="8"/>
  <c r="AH238" i="8"/>
  <c r="AM238" i="8" s="1"/>
  <c r="BA237" i="8"/>
  <c r="AH237" i="8"/>
  <c r="AM237" i="8" s="1"/>
  <c r="BA236" i="8"/>
  <c r="AM236" i="8"/>
  <c r="AH236" i="8"/>
  <c r="BA235" i="8"/>
  <c r="AH235" i="8"/>
  <c r="AM235" i="8" s="1"/>
  <c r="BA234" i="8"/>
  <c r="AH234" i="8"/>
  <c r="AM234" i="8" s="1"/>
  <c r="BA233" i="8"/>
  <c r="AH233" i="8"/>
  <c r="AM233" i="8" s="1"/>
  <c r="BA232" i="8"/>
  <c r="AM232" i="8"/>
  <c r="AH232" i="8"/>
  <c r="BA231" i="8"/>
  <c r="AH231" i="8"/>
  <c r="AM231" i="8" s="1"/>
  <c r="BA230" i="8"/>
  <c r="AH230" i="8"/>
  <c r="AM230" i="8" s="1"/>
  <c r="BA229" i="8"/>
  <c r="AH229" i="8"/>
  <c r="AM229" i="8" s="1"/>
  <c r="BA228" i="8"/>
  <c r="AH228" i="8"/>
  <c r="AM228" i="8" s="1"/>
  <c r="BA227" i="8"/>
  <c r="AH227" i="8"/>
  <c r="AM227" i="8" s="1"/>
  <c r="BA226" i="8"/>
  <c r="AM226" i="8"/>
  <c r="AH226" i="8"/>
  <c r="BA225" i="8"/>
  <c r="AM225" i="8"/>
  <c r="AH225" i="8"/>
  <c r="BA224" i="8"/>
  <c r="AM224" i="8"/>
  <c r="AH224" i="8"/>
  <c r="BA223" i="8"/>
  <c r="AH223" i="8"/>
  <c r="AM223" i="8" s="1"/>
  <c r="BA222" i="8"/>
  <c r="AH222" i="8"/>
  <c r="AM222" i="8" s="1"/>
  <c r="BA221" i="8"/>
  <c r="AH221" i="8"/>
  <c r="AM221" i="8" s="1"/>
  <c r="BA220" i="8"/>
  <c r="AH220" i="8"/>
  <c r="AM220" i="8" s="1"/>
  <c r="BA219" i="8"/>
  <c r="AH219" i="8"/>
  <c r="AM219" i="8" s="1"/>
  <c r="AG215" i="8"/>
  <c r="AF215" i="8"/>
  <c r="AE215" i="8"/>
  <c r="AD215" i="8"/>
  <c r="AC215" i="8"/>
  <c r="AB215" i="8"/>
  <c r="AA215" i="8"/>
  <c r="Z215" i="8"/>
  <c r="Y215" i="8"/>
  <c r="X215" i="8"/>
  <c r="W215" i="8"/>
  <c r="V215" i="8"/>
  <c r="U215" i="8"/>
  <c r="T215" i="8"/>
  <c r="S215" i="8"/>
  <c r="R215" i="8"/>
  <c r="Q215" i="8"/>
  <c r="P215" i="8"/>
  <c r="O215" i="8"/>
  <c r="N215" i="8"/>
  <c r="M215" i="8"/>
  <c r="L215" i="8"/>
  <c r="K215" i="8"/>
  <c r="J215" i="8"/>
  <c r="I215" i="8"/>
  <c r="H215" i="8"/>
  <c r="G215" i="8"/>
  <c r="F215" i="8"/>
  <c r="E215" i="8"/>
  <c r="BA214" i="8"/>
  <c r="AH214" i="8"/>
  <c r="AM214" i="8" s="1"/>
  <c r="BA213" i="8"/>
  <c r="AH213" i="8"/>
  <c r="AM213" i="8" s="1"/>
  <c r="BA212" i="8"/>
  <c r="AH212" i="8"/>
  <c r="AM212" i="8" s="1"/>
  <c r="BA211" i="8"/>
  <c r="AH211" i="8"/>
  <c r="AM211" i="8" s="1"/>
  <c r="BA210" i="8"/>
  <c r="AH210" i="8"/>
  <c r="AM210" i="8" s="1"/>
  <c r="BA209" i="8"/>
  <c r="AH209" i="8"/>
  <c r="AM209" i="8" s="1"/>
  <c r="BA208" i="8"/>
  <c r="AM208" i="8"/>
  <c r="AH208" i="8"/>
  <c r="BA207" i="8"/>
  <c r="AH207" i="8"/>
  <c r="AM207" i="8" s="1"/>
  <c r="BA206" i="8"/>
  <c r="AH206" i="8"/>
  <c r="AM206" i="8" s="1"/>
  <c r="BA205" i="8"/>
  <c r="AH205" i="8"/>
  <c r="AM205" i="8" s="1"/>
  <c r="BA204" i="8"/>
  <c r="AH204" i="8"/>
  <c r="AM204" i="8" s="1"/>
  <c r="BA203" i="8"/>
  <c r="AH203" i="8"/>
  <c r="AM203" i="8" s="1"/>
  <c r="BA202" i="8"/>
  <c r="AH202" i="8"/>
  <c r="AM202" i="8" s="1"/>
  <c r="BA201" i="8"/>
  <c r="AH201" i="8"/>
  <c r="AM201" i="8" s="1"/>
  <c r="BA200" i="8"/>
  <c r="AH200" i="8"/>
  <c r="AM200" i="8" s="1"/>
  <c r="BA199" i="8"/>
  <c r="AH199" i="8"/>
  <c r="AM199" i="8" s="1"/>
  <c r="BA198" i="8"/>
  <c r="AH198" i="8"/>
  <c r="AM198" i="8" s="1"/>
  <c r="BA197" i="8"/>
  <c r="AH197" i="8"/>
  <c r="AM197" i="8" s="1"/>
  <c r="BA196" i="8"/>
  <c r="AH196" i="8"/>
  <c r="AM196" i="8" s="1"/>
  <c r="BA195" i="8"/>
  <c r="AM195" i="8"/>
  <c r="AH195" i="8"/>
  <c r="AG191" i="8"/>
  <c r="AF191" i="8"/>
  <c r="AE191" i="8"/>
  <c r="AD191" i="8"/>
  <c r="AC191" i="8"/>
  <c r="AB191" i="8"/>
  <c r="AA191" i="8"/>
  <c r="Z191" i="8"/>
  <c r="Y191" i="8"/>
  <c r="X191" i="8"/>
  <c r="W191" i="8"/>
  <c r="V191" i="8"/>
  <c r="U191" i="8"/>
  <c r="T191" i="8"/>
  <c r="S191" i="8"/>
  <c r="R191" i="8"/>
  <c r="Q191" i="8"/>
  <c r="P191" i="8"/>
  <c r="O191" i="8"/>
  <c r="N191" i="8"/>
  <c r="M191" i="8"/>
  <c r="L191" i="8"/>
  <c r="K191" i="8"/>
  <c r="J191" i="8"/>
  <c r="I191" i="8"/>
  <c r="H191" i="8"/>
  <c r="G191" i="8"/>
  <c r="F191" i="8"/>
  <c r="E191" i="8"/>
  <c r="BA190" i="8"/>
  <c r="AH190" i="8"/>
  <c r="AM190" i="8" s="1"/>
  <c r="BA189" i="8"/>
  <c r="AH189" i="8"/>
  <c r="AM189" i="8" s="1"/>
  <c r="BA188" i="8"/>
  <c r="AH188" i="8"/>
  <c r="AM188" i="8" s="1"/>
  <c r="BA187" i="8"/>
  <c r="AH187" i="8"/>
  <c r="AM187" i="8" s="1"/>
  <c r="BA186" i="8"/>
  <c r="AH186" i="8"/>
  <c r="AM186" i="8" s="1"/>
  <c r="BA185" i="8"/>
  <c r="AH185" i="8"/>
  <c r="AM185" i="8" s="1"/>
  <c r="BA184" i="8"/>
  <c r="AH184" i="8"/>
  <c r="AM184" i="8" s="1"/>
  <c r="BA183" i="8"/>
  <c r="AH183" i="8"/>
  <c r="AM183" i="8" s="1"/>
  <c r="BA182" i="8"/>
  <c r="AH182" i="8"/>
  <c r="AM182" i="8" s="1"/>
  <c r="BA181" i="8"/>
  <c r="AH181" i="8"/>
  <c r="AM181" i="8" s="1"/>
  <c r="BA180" i="8"/>
  <c r="AH180" i="8"/>
  <c r="AM180" i="8" s="1"/>
  <c r="BA179" i="8"/>
  <c r="AH179" i="8"/>
  <c r="AM179" i="8" s="1"/>
  <c r="BA178" i="8"/>
  <c r="AH178" i="8"/>
  <c r="AM178" i="8" s="1"/>
  <c r="BA177" i="8"/>
  <c r="AH177" i="8"/>
  <c r="AM177" i="8" s="1"/>
  <c r="BA176" i="8"/>
  <c r="AH176" i="8"/>
  <c r="AM176" i="8" s="1"/>
  <c r="BA175" i="8"/>
  <c r="AH175" i="8"/>
  <c r="AM175" i="8" s="1"/>
  <c r="BA174" i="8"/>
  <c r="AH174" i="8"/>
  <c r="AM174" i="8" s="1"/>
  <c r="BA173" i="8"/>
  <c r="AH173" i="8"/>
  <c r="AM173" i="8" s="1"/>
  <c r="BA172" i="8"/>
  <c r="AM172" i="8"/>
  <c r="AH172" i="8"/>
  <c r="BA171" i="8"/>
  <c r="AH171" i="8"/>
  <c r="AM171" i="8" s="1"/>
  <c r="AG167" i="8"/>
  <c r="AF167" i="8"/>
  <c r="AE167" i="8"/>
  <c r="AD167" i="8"/>
  <c r="AC167" i="8"/>
  <c r="AB167" i="8"/>
  <c r="AA167" i="8"/>
  <c r="Z167" i="8"/>
  <c r="Y167" i="8"/>
  <c r="X167" i="8"/>
  <c r="W167" i="8"/>
  <c r="V167" i="8"/>
  <c r="U167" i="8"/>
  <c r="T167" i="8"/>
  <c r="S167" i="8"/>
  <c r="R167" i="8"/>
  <c r="Q167" i="8"/>
  <c r="P167" i="8"/>
  <c r="O167" i="8"/>
  <c r="N167" i="8"/>
  <c r="M167" i="8"/>
  <c r="L167" i="8"/>
  <c r="K167" i="8"/>
  <c r="J167" i="8"/>
  <c r="I167" i="8"/>
  <c r="H167" i="8"/>
  <c r="G167" i="8"/>
  <c r="F167" i="8"/>
  <c r="E167" i="8"/>
  <c r="AH167" i="8" s="1"/>
  <c r="BA166" i="8"/>
  <c r="AH166" i="8"/>
  <c r="AM166" i="8" s="1"/>
  <c r="BA165" i="8"/>
  <c r="AH165" i="8"/>
  <c r="AM165" i="8" s="1"/>
  <c r="BA164" i="8"/>
  <c r="AH164" i="8"/>
  <c r="AM164" i="8" s="1"/>
  <c r="BA163" i="8"/>
  <c r="AH163" i="8"/>
  <c r="AM163" i="8" s="1"/>
  <c r="BA162" i="8"/>
  <c r="AM162" i="8"/>
  <c r="AH162" i="8"/>
  <c r="BA161" i="8"/>
  <c r="AH161" i="8"/>
  <c r="AM161" i="8" s="1"/>
  <c r="BA160" i="8"/>
  <c r="AH160" i="8"/>
  <c r="AM160" i="8" s="1"/>
  <c r="BA159" i="8"/>
  <c r="AH159" i="8"/>
  <c r="AM159" i="8" s="1"/>
  <c r="BA158" i="8"/>
  <c r="AH158" i="8"/>
  <c r="AM158" i="8" s="1"/>
  <c r="BA157" i="8"/>
  <c r="AH157" i="8"/>
  <c r="AM157" i="8" s="1"/>
  <c r="BA156" i="8"/>
  <c r="AH156" i="8"/>
  <c r="AM156" i="8" s="1"/>
  <c r="BA155" i="8"/>
  <c r="AH155" i="8"/>
  <c r="AM155" i="8" s="1"/>
  <c r="BA154" i="8"/>
  <c r="AM154" i="8"/>
  <c r="AH154" i="8"/>
  <c r="BA153" i="8"/>
  <c r="AH153" i="8"/>
  <c r="AM153" i="8" s="1"/>
  <c r="BA152" i="8"/>
  <c r="AH152" i="8"/>
  <c r="AM152" i="8" s="1"/>
  <c r="BA151" i="8"/>
  <c r="AH151" i="8"/>
  <c r="AM151" i="8" s="1"/>
  <c r="BA150" i="8"/>
  <c r="AM150" i="8"/>
  <c r="AH150" i="8"/>
  <c r="BA149" i="8"/>
  <c r="AH149" i="8"/>
  <c r="AM149" i="8" s="1"/>
  <c r="BA148" i="8"/>
  <c r="AM148" i="8"/>
  <c r="AH148" i="8"/>
  <c r="BA147" i="8"/>
  <c r="AM147" i="8"/>
  <c r="AH147" i="8"/>
  <c r="AM146" i="8"/>
  <c r="AG143" i="8"/>
  <c r="AF143" i="8"/>
  <c r="AE143" i="8"/>
  <c r="AD143" i="8"/>
  <c r="AC143" i="8"/>
  <c r="AB143" i="8"/>
  <c r="AA143" i="8"/>
  <c r="Z143" i="8"/>
  <c r="Y143" i="8"/>
  <c r="X143" i="8"/>
  <c r="W143" i="8"/>
  <c r="V143" i="8"/>
  <c r="U143" i="8"/>
  <c r="T143" i="8"/>
  <c r="S143" i="8"/>
  <c r="R143" i="8"/>
  <c r="Q143" i="8"/>
  <c r="P143" i="8"/>
  <c r="O143" i="8"/>
  <c r="N143" i="8"/>
  <c r="M143" i="8"/>
  <c r="L143" i="8"/>
  <c r="K143" i="8"/>
  <c r="J143" i="8"/>
  <c r="I143" i="8"/>
  <c r="H143" i="8"/>
  <c r="G143" i="8"/>
  <c r="F143" i="8"/>
  <c r="E143" i="8"/>
  <c r="BA142" i="8"/>
  <c r="AH142" i="8"/>
  <c r="AM142" i="8" s="1"/>
  <c r="BA141" i="8"/>
  <c r="AH141" i="8"/>
  <c r="AM141" i="8" s="1"/>
  <c r="BA131" i="8"/>
  <c r="AH131" i="8"/>
  <c r="AM131" i="8" s="1"/>
  <c r="BA130" i="8"/>
  <c r="AH130" i="8"/>
  <c r="AM130" i="8" s="1"/>
  <c r="BA129" i="8"/>
  <c r="AH129" i="8"/>
  <c r="AM129" i="8" s="1"/>
  <c r="BA128" i="8"/>
  <c r="AH128" i="8"/>
  <c r="AM128" i="8" s="1"/>
  <c r="BA127" i="8"/>
  <c r="AH127" i="8"/>
  <c r="AM127" i="8" s="1"/>
  <c r="BA126" i="8"/>
  <c r="AH126" i="8"/>
  <c r="AM126" i="8" s="1"/>
  <c r="BA125" i="8"/>
  <c r="AH125" i="8"/>
  <c r="BA124" i="8"/>
  <c r="AH124" i="8"/>
  <c r="AM124" i="8" s="1"/>
  <c r="BA123" i="8"/>
  <c r="AH123" i="8"/>
  <c r="AM123" i="8" s="1"/>
  <c r="BA122" i="8"/>
  <c r="AH122" i="8"/>
  <c r="AM122" i="8" s="1"/>
  <c r="BA121" i="8"/>
  <c r="AH121" i="8"/>
  <c r="AM121" i="8" s="1"/>
  <c r="BA120" i="8"/>
  <c r="AH120" i="8"/>
  <c r="AM120" i="8" s="1"/>
  <c r="BA119" i="8"/>
  <c r="AH119" i="8"/>
  <c r="AM119" i="8" s="1"/>
  <c r="BA118" i="8"/>
  <c r="AH118" i="8"/>
  <c r="AM118" i="8" s="1"/>
  <c r="BA117" i="8"/>
  <c r="AH117" i="8"/>
  <c r="AM117" i="8" s="1"/>
  <c r="BA116" i="8"/>
  <c r="AH116" i="8"/>
  <c r="AM116" i="8" s="1"/>
  <c r="BA115" i="8"/>
  <c r="BA114" i="8"/>
  <c r="AM113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I110" i="8"/>
  <c r="H110" i="8"/>
  <c r="G110" i="8"/>
  <c r="BA109" i="8"/>
  <c r="AH109" i="8"/>
  <c r="AM109" i="8" s="1"/>
  <c r="BA108" i="8"/>
  <c r="AH108" i="8"/>
  <c r="AM108" i="8" s="1"/>
  <c r="BA107" i="8"/>
  <c r="BA98" i="8"/>
  <c r="AM98" i="8"/>
  <c r="BA97" i="8"/>
  <c r="AH97" i="8"/>
  <c r="AM97" i="8" s="1"/>
  <c r="BA96" i="8"/>
  <c r="AH96" i="8"/>
  <c r="AM96" i="8" s="1"/>
  <c r="BA95" i="8"/>
  <c r="AH95" i="8"/>
  <c r="AM95" i="8" s="1"/>
  <c r="BA94" i="8"/>
  <c r="AH94" i="8"/>
  <c r="AM94" i="8" s="1"/>
  <c r="BA93" i="8"/>
  <c r="AH93" i="8"/>
  <c r="AM93" i="8" s="1"/>
  <c r="BA92" i="8"/>
  <c r="AH92" i="8"/>
  <c r="AM92" i="8" s="1"/>
  <c r="BA91" i="8"/>
  <c r="AH91" i="8"/>
  <c r="AM91" i="8" s="1"/>
  <c r="BA90" i="8"/>
  <c r="AH90" i="8"/>
  <c r="AM90" i="8" s="1"/>
  <c r="BA89" i="8"/>
  <c r="AH89" i="8"/>
  <c r="AM89" i="8" s="1"/>
  <c r="BA88" i="8"/>
  <c r="AH88" i="8"/>
  <c r="AM88" i="8" s="1"/>
  <c r="BA87" i="8"/>
  <c r="AH87" i="8"/>
  <c r="AM87" i="8" s="1"/>
  <c r="BA86" i="8"/>
  <c r="AH86" i="8"/>
  <c r="AM86" i="8" s="1"/>
  <c r="BA85" i="8"/>
  <c r="AH85" i="8"/>
  <c r="AM85" i="8" s="1"/>
  <c r="BA84" i="8"/>
  <c r="AH84" i="8"/>
  <c r="AM84" i="8" s="1"/>
  <c r="BA83" i="8"/>
  <c r="AH83" i="8"/>
  <c r="AM83" i="8" s="1"/>
  <c r="BA82" i="8"/>
  <c r="AH82" i="8"/>
  <c r="AM82" i="8" s="1"/>
  <c r="AM81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AH78" i="8" s="1"/>
  <c r="G78" i="8"/>
  <c r="F78" i="8"/>
  <c r="E78" i="8"/>
  <c r="BA77" i="8"/>
  <c r="AH77" i="8"/>
  <c r="AM77" i="8" s="1"/>
  <c r="BA76" i="8"/>
  <c r="AH76" i="8"/>
  <c r="AM76" i="8" s="1"/>
  <c r="BA74" i="8"/>
  <c r="AH74" i="8"/>
  <c r="AM74" i="8" s="1"/>
  <c r="BA66" i="8"/>
  <c r="AH66" i="8"/>
  <c r="AM66" i="8" s="1"/>
  <c r="BA65" i="8"/>
  <c r="AH65" i="8"/>
  <c r="AM65" i="8" s="1"/>
  <c r="BA64" i="8"/>
  <c r="AH64" i="8"/>
  <c r="AM64" i="8" s="1"/>
  <c r="BA63" i="8"/>
  <c r="AH63" i="8"/>
  <c r="AM63" i="8" s="1"/>
  <c r="BA62" i="8"/>
  <c r="AH62" i="8"/>
  <c r="AM62" i="8" s="1"/>
  <c r="BA61" i="8"/>
  <c r="AH61" i="8"/>
  <c r="AM61" i="8" s="1"/>
  <c r="BA60" i="8"/>
  <c r="AH60" i="8"/>
  <c r="AM60" i="8" s="1"/>
  <c r="BA59" i="8"/>
  <c r="AH59" i="8"/>
  <c r="AM59" i="8" s="1"/>
  <c r="BA58" i="8"/>
  <c r="AH58" i="8"/>
  <c r="AM58" i="8" s="1"/>
  <c r="BA57" i="8"/>
  <c r="AH57" i="8"/>
  <c r="AM57" i="8" s="1"/>
  <c r="BA56" i="8"/>
  <c r="AH56" i="8"/>
  <c r="AM56" i="8" s="1"/>
  <c r="BA55" i="8"/>
  <c r="AH55" i="8"/>
  <c r="AM55" i="8" s="1"/>
  <c r="BA54" i="8"/>
  <c r="AH54" i="8"/>
  <c r="AM54" i="8" s="1"/>
  <c r="BA53" i="8"/>
  <c r="AH53" i="8"/>
  <c r="AM53" i="8" s="1"/>
  <c r="BA52" i="8"/>
  <c r="AH52" i="8"/>
  <c r="AM52" i="8" s="1"/>
  <c r="BA51" i="8"/>
  <c r="AH51" i="8"/>
  <c r="AM51" i="8" s="1"/>
  <c r="BA50" i="8"/>
  <c r="AH50" i="8"/>
  <c r="AM50" i="8" s="1"/>
  <c r="AM49" i="8"/>
  <c r="AG46" i="8"/>
  <c r="AG48" i="8" s="1"/>
  <c r="AG80" i="8" s="1"/>
  <c r="AF46" i="8"/>
  <c r="AF48" i="8" s="1"/>
  <c r="AF80" i="8" s="1"/>
  <c r="AF112" i="8" s="1"/>
  <c r="AF145" i="8" s="1"/>
  <c r="AF169" i="8" s="1"/>
  <c r="AF193" i="8" s="1"/>
  <c r="AF217" i="8" s="1"/>
  <c r="AF241" i="8" s="1"/>
  <c r="AF265" i="8" s="1"/>
  <c r="AF289" i="8" s="1"/>
  <c r="AF313" i="8" s="1"/>
  <c r="AF337" i="8" s="1"/>
  <c r="AE46" i="8"/>
  <c r="AE48" i="8" s="1"/>
  <c r="AE80" i="8" s="1"/>
  <c r="AE112" i="8" s="1"/>
  <c r="AD46" i="8"/>
  <c r="AD48" i="8" s="1"/>
  <c r="AD80" i="8" s="1"/>
  <c r="AD112" i="8" s="1"/>
  <c r="AD145" i="8" s="1"/>
  <c r="AD169" i="8" s="1"/>
  <c r="AD193" i="8" s="1"/>
  <c r="AD217" i="8" s="1"/>
  <c r="AD241" i="8" s="1"/>
  <c r="AD265" i="8" s="1"/>
  <c r="AD289" i="8" s="1"/>
  <c r="AD313" i="8" s="1"/>
  <c r="AD337" i="8" s="1"/>
  <c r="AC46" i="8"/>
  <c r="AC47" i="8" s="1"/>
  <c r="AC79" i="8" s="1"/>
  <c r="AB46" i="8"/>
  <c r="AB48" i="8" s="1"/>
  <c r="AB80" i="8" s="1"/>
  <c r="AB112" i="8" s="1"/>
  <c r="AB145" i="8" s="1"/>
  <c r="AB169" i="8" s="1"/>
  <c r="AB193" i="8" s="1"/>
  <c r="AB217" i="8" s="1"/>
  <c r="AB241" i="8" s="1"/>
  <c r="AB265" i="8" s="1"/>
  <c r="AB289" i="8" s="1"/>
  <c r="AB313" i="8" s="1"/>
  <c r="AB337" i="8" s="1"/>
  <c r="AA46" i="8"/>
  <c r="AA48" i="8" s="1"/>
  <c r="AA80" i="8" s="1"/>
  <c r="Z46" i="8"/>
  <c r="Z48" i="8" s="1"/>
  <c r="Z80" i="8" s="1"/>
  <c r="Z112" i="8" s="1"/>
  <c r="Z145" i="8" s="1"/>
  <c r="Z169" i="8" s="1"/>
  <c r="Z193" i="8" s="1"/>
  <c r="Z217" i="8" s="1"/>
  <c r="Z241" i="8" s="1"/>
  <c r="Z265" i="8" s="1"/>
  <c r="Z289" i="8" s="1"/>
  <c r="Z313" i="8" s="1"/>
  <c r="Z337" i="8" s="1"/>
  <c r="Y46" i="8"/>
  <c r="Y48" i="8" s="1"/>
  <c r="Y80" i="8" s="1"/>
  <c r="Y112" i="8" s="1"/>
  <c r="X46" i="8"/>
  <c r="X48" i="8" s="1"/>
  <c r="X80" i="8" s="1"/>
  <c r="X112" i="8" s="1"/>
  <c r="X145" i="8" s="1"/>
  <c r="X169" i="8" s="1"/>
  <c r="X193" i="8" s="1"/>
  <c r="X217" i="8" s="1"/>
  <c r="X241" i="8" s="1"/>
  <c r="X265" i="8" s="1"/>
  <c r="X289" i="8" s="1"/>
  <c r="X313" i="8" s="1"/>
  <c r="X337" i="8" s="1"/>
  <c r="W46" i="8"/>
  <c r="W48" i="8" s="1"/>
  <c r="W80" i="8" s="1"/>
  <c r="W112" i="8" s="1"/>
  <c r="W145" i="8" s="1"/>
  <c r="W169" i="8" s="1"/>
  <c r="W193" i="8" s="1"/>
  <c r="W217" i="8" s="1"/>
  <c r="W241" i="8" s="1"/>
  <c r="W265" i="8" s="1"/>
  <c r="W289" i="8" s="1"/>
  <c r="W313" i="8" s="1"/>
  <c r="W337" i="8" s="1"/>
  <c r="V46" i="8"/>
  <c r="V48" i="8" s="1"/>
  <c r="V80" i="8" s="1"/>
  <c r="U46" i="8"/>
  <c r="U48" i="8" s="1"/>
  <c r="U80" i="8" s="1"/>
  <c r="T46" i="8"/>
  <c r="T48" i="8" s="1"/>
  <c r="T80" i="8" s="1"/>
  <c r="T112" i="8" s="1"/>
  <c r="T145" i="8" s="1"/>
  <c r="T169" i="8" s="1"/>
  <c r="T193" i="8" s="1"/>
  <c r="T217" i="8" s="1"/>
  <c r="T241" i="8" s="1"/>
  <c r="T265" i="8" s="1"/>
  <c r="T289" i="8" s="1"/>
  <c r="T313" i="8" s="1"/>
  <c r="T337" i="8" s="1"/>
  <c r="S46" i="8"/>
  <c r="S48" i="8" s="1"/>
  <c r="S80" i="8" s="1"/>
  <c r="S112" i="8" s="1"/>
  <c r="R46" i="8"/>
  <c r="R48" i="8" s="1"/>
  <c r="R80" i="8" s="1"/>
  <c r="R112" i="8" s="1"/>
  <c r="R145" i="8" s="1"/>
  <c r="R169" i="8" s="1"/>
  <c r="R193" i="8" s="1"/>
  <c r="R217" i="8" s="1"/>
  <c r="R241" i="8" s="1"/>
  <c r="R265" i="8" s="1"/>
  <c r="R289" i="8" s="1"/>
  <c r="R313" i="8" s="1"/>
  <c r="R337" i="8" s="1"/>
  <c r="Q46" i="8"/>
  <c r="Q47" i="8" s="1"/>
  <c r="Q79" i="8" s="1"/>
  <c r="Q111" i="8" s="1"/>
  <c r="Q144" i="8" s="1"/>
  <c r="Q168" i="8" s="1"/>
  <c r="Q192" i="8" s="1"/>
  <c r="Q216" i="8" s="1"/>
  <c r="Q240" i="8" s="1"/>
  <c r="Q264" i="8" s="1"/>
  <c r="Q288" i="8" s="1"/>
  <c r="Q312" i="8" s="1"/>
  <c r="Q336" i="8" s="1"/>
  <c r="P46" i="8"/>
  <c r="P48" i="8" s="1"/>
  <c r="P80" i="8" s="1"/>
  <c r="P112" i="8" s="1"/>
  <c r="O46" i="8"/>
  <c r="O48" i="8" s="1"/>
  <c r="O80" i="8" s="1"/>
  <c r="N46" i="8"/>
  <c r="N48" i="8" s="1"/>
  <c r="N80" i="8" s="1"/>
  <c r="M46" i="8"/>
  <c r="M48" i="8" s="1"/>
  <c r="M80" i="8" s="1"/>
  <c r="M112" i="8" s="1"/>
  <c r="L46" i="8"/>
  <c r="L48" i="8" s="1"/>
  <c r="L80" i="8" s="1"/>
  <c r="K46" i="8"/>
  <c r="K48" i="8" s="1"/>
  <c r="K80" i="8" s="1"/>
  <c r="K112" i="8" s="1"/>
  <c r="K145" i="8" s="1"/>
  <c r="K169" i="8" s="1"/>
  <c r="K193" i="8" s="1"/>
  <c r="K217" i="8" s="1"/>
  <c r="K241" i="8" s="1"/>
  <c r="K265" i="8" s="1"/>
  <c r="K289" i="8" s="1"/>
  <c r="K313" i="8" s="1"/>
  <c r="K337" i="8" s="1"/>
  <c r="J46" i="8"/>
  <c r="J48" i="8" s="1"/>
  <c r="J80" i="8" s="1"/>
  <c r="J112" i="8" s="1"/>
  <c r="J145" i="8" s="1"/>
  <c r="J169" i="8" s="1"/>
  <c r="J193" i="8" s="1"/>
  <c r="J217" i="8" s="1"/>
  <c r="J241" i="8" s="1"/>
  <c r="J265" i="8" s="1"/>
  <c r="J289" i="8" s="1"/>
  <c r="J313" i="8" s="1"/>
  <c r="J337" i="8" s="1"/>
  <c r="I46" i="8"/>
  <c r="I48" i="8" s="1"/>
  <c r="I80" i="8" s="1"/>
  <c r="H46" i="8"/>
  <c r="H48" i="8" s="1"/>
  <c r="H80" i="8" s="1"/>
  <c r="G46" i="8"/>
  <c r="G48" i="8" s="1"/>
  <c r="G80" i="8" s="1"/>
  <c r="G112" i="8" s="1"/>
  <c r="F46" i="8"/>
  <c r="F47" i="8" s="1"/>
  <c r="F79" i="8" s="1"/>
  <c r="F111" i="8" s="1"/>
  <c r="F144" i="8" s="1"/>
  <c r="F168" i="8" s="1"/>
  <c r="F192" i="8" s="1"/>
  <c r="F216" i="8" s="1"/>
  <c r="F240" i="8" s="1"/>
  <c r="F264" i="8" s="1"/>
  <c r="F288" i="8" s="1"/>
  <c r="F312" i="8" s="1"/>
  <c r="F336" i="8" s="1"/>
  <c r="E49" i="3" s="1"/>
  <c r="E46" i="8"/>
  <c r="E47" i="8" s="1"/>
  <c r="BA45" i="8"/>
  <c r="AH45" i="8"/>
  <c r="AM45" i="8" s="1"/>
  <c r="BA44" i="8"/>
  <c r="AH44" i="8"/>
  <c r="AM44" i="8" s="1"/>
  <c r="BA43" i="8"/>
  <c r="AH43" i="8"/>
  <c r="AM43" i="8" s="1"/>
  <c r="BA42" i="8"/>
  <c r="AH42" i="8"/>
  <c r="AM42" i="8" s="1"/>
  <c r="AH41" i="8"/>
  <c r="AM41" i="8" s="1"/>
  <c r="AH40" i="8"/>
  <c r="AM40" i="8" s="1"/>
  <c r="AH39" i="8"/>
  <c r="AM39" i="8" s="1"/>
  <c r="AH38" i="8"/>
  <c r="AM38" i="8" s="1"/>
  <c r="AH37" i="8"/>
  <c r="AM37" i="8" s="1"/>
  <c r="AH36" i="8"/>
  <c r="AM36" i="8" s="1"/>
  <c r="AH35" i="8"/>
  <c r="AM35" i="8" s="1"/>
  <c r="AH34" i="8"/>
  <c r="AM34" i="8" s="1"/>
  <c r="AH33" i="8"/>
  <c r="AM33" i="8" s="1"/>
  <c r="AH32" i="8"/>
  <c r="AM32" i="8" s="1"/>
  <c r="AH31" i="8"/>
  <c r="AM31" i="8" s="1"/>
  <c r="AH30" i="8"/>
  <c r="AM30" i="8" s="1"/>
  <c r="AH29" i="8"/>
  <c r="AM29" i="8" s="1"/>
  <c r="BA28" i="8"/>
  <c r="AH28" i="8"/>
  <c r="AM28" i="8" s="1"/>
  <c r="BA27" i="8"/>
  <c r="AH27" i="8"/>
  <c r="AM27" i="8" s="1"/>
  <c r="BA26" i="8"/>
  <c r="AH26" i="8"/>
  <c r="AM26" i="8" s="1"/>
  <c r="BA25" i="8"/>
  <c r="AH25" i="8"/>
  <c r="AM25" i="8" s="1"/>
  <c r="AH24" i="8"/>
  <c r="AM24" i="8" s="1"/>
  <c r="AH23" i="8"/>
  <c r="AM23" i="8" s="1"/>
  <c r="AH22" i="8"/>
  <c r="AM22" i="8" s="1"/>
  <c r="AH21" i="8"/>
  <c r="AM21" i="8" s="1"/>
  <c r="AH20" i="8"/>
  <c r="AM20" i="8" s="1"/>
  <c r="AH19" i="8"/>
  <c r="AM19" i="8" s="1"/>
  <c r="BA18" i="8"/>
  <c r="AH18" i="8"/>
  <c r="AM18" i="8" s="1"/>
  <c r="BA17" i="8"/>
  <c r="AH17" i="8"/>
  <c r="AM17" i="8" s="1"/>
  <c r="BA16" i="8"/>
  <c r="AH16" i="8"/>
  <c r="AM16" i="8" s="1"/>
  <c r="BA15" i="8"/>
  <c r="AH15" i="8"/>
  <c r="AM15" i="8" s="1"/>
  <c r="BA14" i="8"/>
  <c r="AH14" i="8"/>
  <c r="AM14" i="8" s="1"/>
  <c r="BA13" i="8"/>
  <c r="AH13" i="8"/>
  <c r="AM13" i="8" s="1"/>
  <c r="BA12" i="8"/>
  <c r="AH12" i="8"/>
  <c r="AM12" i="8" s="1"/>
  <c r="BA11" i="8"/>
  <c r="AH11" i="8"/>
  <c r="AM11" i="8" s="1"/>
  <c r="BA10" i="8"/>
  <c r="AH10" i="8"/>
  <c r="AM10" i="8" s="1"/>
  <c r="BA9" i="8"/>
  <c r="AH9" i="8"/>
  <c r="AM9" i="8" s="1"/>
  <c r="BA8" i="8"/>
  <c r="AH8" i="8"/>
  <c r="AM8" i="8" s="1"/>
  <c r="BA7" i="8"/>
  <c r="AH7" i="8"/>
  <c r="AM7" i="8" s="1"/>
  <c r="AH5" i="8"/>
  <c r="AL4" i="8"/>
  <c r="AK4" i="8"/>
  <c r="AH4" i="8"/>
  <c r="AH3" i="8"/>
  <c r="H189" i="7"/>
  <c r="G189" i="7"/>
  <c r="F189" i="7"/>
  <c r="I189" i="7" s="1"/>
  <c r="E189" i="7"/>
  <c r="N188" i="7"/>
  <c r="I188" i="7"/>
  <c r="N187" i="7"/>
  <c r="I187" i="7"/>
  <c r="I186" i="7"/>
  <c r="N186" i="7" s="1"/>
  <c r="I185" i="7"/>
  <c r="N185" i="7" s="1"/>
  <c r="I184" i="7"/>
  <c r="N184" i="7" s="1"/>
  <c r="N183" i="7"/>
  <c r="I183" i="7"/>
  <c r="N182" i="7"/>
  <c r="I182" i="7"/>
  <c r="N181" i="7"/>
  <c r="I181" i="7"/>
  <c r="I180" i="7"/>
  <c r="N180" i="7" s="1"/>
  <c r="I179" i="7"/>
  <c r="N179" i="7" s="1"/>
  <c r="I178" i="7"/>
  <c r="N178" i="7" s="1"/>
  <c r="N177" i="7"/>
  <c r="H174" i="7"/>
  <c r="G174" i="7"/>
  <c r="F174" i="7"/>
  <c r="I174" i="7" s="1"/>
  <c r="E174" i="7"/>
  <c r="N173" i="7"/>
  <c r="I173" i="7"/>
  <c r="I172" i="7"/>
  <c r="N172" i="7" s="1"/>
  <c r="I171" i="7"/>
  <c r="N171" i="7" s="1"/>
  <c r="I170" i="7"/>
  <c r="N170" i="7" s="1"/>
  <c r="N169" i="7"/>
  <c r="I169" i="7"/>
  <c r="N168" i="7"/>
  <c r="I168" i="7"/>
  <c r="N167" i="7"/>
  <c r="I167" i="7"/>
  <c r="I166" i="7"/>
  <c r="N166" i="7" s="1"/>
  <c r="I165" i="7"/>
  <c r="N165" i="7" s="1"/>
  <c r="I164" i="7"/>
  <c r="N164" i="7" s="1"/>
  <c r="N163" i="7"/>
  <c r="I163" i="7"/>
  <c r="N162" i="7"/>
  <c r="H159" i="7"/>
  <c r="G159" i="7"/>
  <c r="F159" i="7"/>
  <c r="E159" i="7"/>
  <c r="I159" i="7" s="1"/>
  <c r="I158" i="7"/>
  <c r="N158" i="7" s="1"/>
  <c r="I157" i="7"/>
  <c r="N157" i="7" s="1"/>
  <c r="I156" i="7"/>
  <c r="N156" i="7" s="1"/>
  <c r="N155" i="7"/>
  <c r="I155" i="7"/>
  <c r="N154" i="7"/>
  <c r="I154" i="7"/>
  <c r="N153" i="7"/>
  <c r="I153" i="7"/>
  <c r="I152" i="7"/>
  <c r="N152" i="7" s="1"/>
  <c r="I151" i="7"/>
  <c r="N151" i="7" s="1"/>
  <c r="I150" i="7"/>
  <c r="N150" i="7" s="1"/>
  <c r="N149" i="7"/>
  <c r="I149" i="7"/>
  <c r="N148" i="7"/>
  <c r="I148" i="7"/>
  <c r="N147" i="7"/>
  <c r="H144" i="7"/>
  <c r="G144" i="7"/>
  <c r="F144" i="7"/>
  <c r="E144" i="7"/>
  <c r="I144" i="7" s="1"/>
  <c r="I143" i="7"/>
  <c r="N143" i="7" s="1"/>
  <c r="I142" i="7"/>
  <c r="N142" i="7" s="1"/>
  <c r="N141" i="7"/>
  <c r="I141" i="7"/>
  <c r="N140" i="7"/>
  <c r="I140" i="7"/>
  <c r="N139" i="7"/>
  <c r="I139" i="7"/>
  <c r="I138" i="7"/>
  <c r="N138" i="7" s="1"/>
  <c r="I137" i="7"/>
  <c r="N137" i="7" s="1"/>
  <c r="I136" i="7"/>
  <c r="N136" i="7" s="1"/>
  <c r="N135" i="7"/>
  <c r="I135" i="7"/>
  <c r="N134" i="7"/>
  <c r="I134" i="7"/>
  <c r="N133" i="7"/>
  <c r="I133" i="7"/>
  <c r="N132" i="7"/>
  <c r="H129" i="7"/>
  <c r="G129" i="7"/>
  <c r="I129" i="7" s="1"/>
  <c r="F129" i="7"/>
  <c r="E129" i="7"/>
  <c r="I128" i="7"/>
  <c r="N128" i="7" s="1"/>
  <c r="N127" i="7"/>
  <c r="I127" i="7"/>
  <c r="N126" i="7"/>
  <c r="I126" i="7"/>
  <c r="N125" i="7"/>
  <c r="I125" i="7"/>
  <c r="I124" i="7"/>
  <c r="N124" i="7" s="1"/>
  <c r="N123" i="7"/>
  <c r="I123" i="7"/>
  <c r="I122" i="7"/>
  <c r="N122" i="7" s="1"/>
  <c r="N121" i="7"/>
  <c r="I121" i="7"/>
  <c r="N120" i="7"/>
  <c r="I120" i="7"/>
  <c r="N119" i="7"/>
  <c r="I119" i="7"/>
  <c r="I118" i="7"/>
  <c r="N118" i="7" s="1"/>
  <c r="N117" i="7"/>
  <c r="I117" i="7"/>
  <c r="H114" i="7"/>
  <c r="G114" i="7"/>
  <c r="F114" i="7"/>
  <c r="E114" i="7"/>
  <c r="I114" i="7" s="1"/>
  <c r="I113" i="7"/>
  <c r="N113" i="7" s="1"/>
  <c r="I112" i="7"/>
  <c r="N112" i="7" s="1"/>
  <c r="I111" i="7"/>
  <c r="N111" i="7" s="1"/>
  <c r="N110" i="7"/>
  <c r="I110" i="7"/>
  <c r="I109" i="7"/>
  <c r="N109" i="7" s="1"/>
  <c r="I108" i="7"/>
  <c r="N108" i="7" s="1"/>
  <c r="I107" i="7"/>
  <c r="N107" i="7" s="1"/>
  <c r="I106" i="7"/>
  <c r="N106" i="7" s="1"/>
  <c r="I105" i="7"/>
  <c r="N105" i="7" s="1"/>
  <c r="N104" i="7"/>
  <c r="I104" i="7"/>
  <c r="I103" i="7"/>
  <c r="N103" i="7" s="1"/>
  <c r="N102" i="7"/>
  <c r="H99" i="7"/>
  <c r="G99" i="7"/>
  <c r="F99" i="7"/>
  <c r="E99" i="7"/>
  <c r="I99" i="7" s="1"/>
  <c r="I98" i="7"/>
  <c r="N98" i="7" s="1"/>
  <c r="I97" i="7"/>
  <c r="N97" i="7" s="1"/>
  <c r="N96" i="7"/>
  <c r="I96" i="7"/>
  <c r="I95" i="7"/>
  <c r="N95" i="7" s="1"/>
  <c r="I94" i="7"/>
  <c r="N94" i="7" s="1"/>
  <c r="I93" i="7"/>
  <c r="N93" i="7" s="1"/>
  <c r="I92" i="7"/>
  <c r="N92" i="7" s="1"/>
  <c r="I91" i="7"/>
  <c r="N91" i="7" s="1"/>
  <c r="N90" i="7"/>
  <c r="I90" i="7"/>
  <c r="I89" i="7"/>
  <c r="N89" i="7" s="1"/>
  <c r="I88" i="7"/>
  <c r="N88" i="7" s="1"/>
  <c r="N87" i="7"/>
  <c r="I84" i="7"/>
  <c r="H84" i="7"/>
  <c r="G84" i="7"/>
  <c r="F84" i="7"/>
  <c r="E84" i="7"/>
  <c r="I83" i="7"/>
  <c r="N83" i="7" s="1"/>
  <c r="N82" i="7"/>
  <c r="I82" i="7"/>
  <c r="I81" i="7"/>
  <c r="N81" i="7" s="1"/>
  <c r="I80" i="7"/>
  <c r="N80" i="7" s="1"/>
  <c r="I79" i="7"/>
  <c r="N79" i="7" s="1"/>
  <c r="I78" i="7"/>
  <c r="N78" i="7" s="1"/>
  <c r="I77" i="7"/>
  <c r="N77" i="7" s="1"/>
  <c r="N76" i="7"/>
  <c r="I76" i="7"/>
  <c r="I75" i="7"/>
  <c r="N75" i="7" s="1"/>
  <c r="I74" i="7"/>
  <c r="N74" i="7" s="1"/>
  <c r="I73" i="7"/>
  <c r="N73" i="7" s="1"/>
  <c r="N72" i="7"/>
  <c r="H69" i="7"/>
  <c r="G69" i="7"/>
  <c r="F69" i="7"/>
  <c r="E69" i="7"/>
  <c r="N68" i="7"/>
  <c r="I68" i="7"/>
  <c r="I67" i="7"/>
  <c r="N67" i="7" s="1"/>
  <c r="I62" i="7"/>
  <c r="N62" i="7" s="1"/>
  <c r="I59" i="7"/>
  <c r="N59" i="7" s="1"/>
  <c r="I58" i="7"/>
  <c r="N58" i="7" s="1"/>
  <c r="I57" i="7"/>
  <c r="N57" i="7" s="1"/>
  <c r="N56" i="7"/>
  <c r="I56" i="7"/>
  <c r="I55" i="7"/>
  <c r="N55" i="7" s="1"/>
  <c r="I54" i="7"/>
  <c r="N54" i="7" s="1"/>
  <c r="I53" i="7"/>
  <c r="N53" i="7" s="1"/>
  <c r="I52" i="7"/>
  <c r="N52" i="7" s="1"/>
  <c r="N51" i="7"/>
  <c r="H48" i="7"/>
  <c r="G48" i="7"/>
  <c r="F48" i="7"/>
  <c r="E48" i="7"/>
  <c r="I47" i="7"/>
  <c r="N47" i="7" s="1"/>
  <c r="I46" i="7"/>
  <c r="N46" i="7" s="1"/>
  <c r="I45" i="7"/>
  <c r="N45" i="7" s="1"/>
  <c r="I44" i="7"/>
  <c r="N44" i="7" s="1"/>
  <c r="I43" i="7"/>
  <c r="N43" i="7" s="1"/>
  <c r="I42" i="7"/>
  <c r="N42" i="7" s="1"/>
  <c r="I41" i="7"/>
  <c r="N41" i="7" s="1"/>
  <c r="I40" i="7"/>
  <c r="N40" i="7" s="1"/>
  <c r="I39" i="7"/>
  <c r="N39" i="7" s="1"/>
  <c r="I38" i="7"/>
  <c r="N38" i="7" s="1"/>
  <c r="I37" i="7"/>
  <c r="N37" i="7" s="1"/>
  <c r="N36" i="7"/>
  <c r="H33" i="7"/>
  <c r="I33" i="7" s="1"/>
  <c r="G33" i="7"/>
  <c r="F33" i="7"/>
  <c r="E33" i="7"/>
  <c r="I32" i="7"/>
  <c r="N32" i="7" s="1"/>
  <c r="I31" i="7"/>
  <c r="N31" i="7" s="1"/>
  <c r="I30" i="7"/>
  <c r="N30" i="7" s="1"/>
  <c r="I29" i="7"/>
  <c r="N29" i="7" s="1"/>
  <c r="N28" i="7"/>
  <c r="I28" i="7"/>
  <c r="I27" i="7"/>
  <c r="N27" i="7" s="1"/>
  <c r="I26" i="7"/>
  <c r="N26" i="7" s="1"/>
  <c r="I25" i="7"/>
  <c r="N25" i="7" s="1"/>
  <c r="I24" i="7"/>
  <c r="N24" i="7" s="1"/>
  <c r="I23" i="7"/>
  <c r="N23" i="7" s="1"/>
  <c r="N22" i="7"/>
  <c r="I22" i="7"/>
  <c r="N21" i="7"/>
  <c r="H20" i="7"/>
  <c r="H35" i="7" s="1"/>
  <c r="H50" i="7" s="1"/>
  <c r="G20" i="7"/>
  <c r="G35" i="7" s="1"/>
  <c r="H19" i="7"/>
  <c r="H34" i="7" s="1"/>
  <c r="H49" i="7" s="1"/>
  <c r="H18" i="7"/>
  <c r="G18" i="7"/>
  <c r="G19" i="7" s="1"/>
  <c r="G34" i="7" s="1"/>
  <c r="F18" i="7"/>
  <c r="F20" i="7" s="1"/>
  <c r="F35" i="7" s="1"/>
  <c r="E18" i="7"/>
  <c r="E20" i="7" s="1"/>
  <c r="I17" i="7"/>
  <c r="N17" i="7" s="1"/>
  <c r="I16" i="7"/>
  <c r="N16" i="7" s="1"/>
  <c r="I15" i="7"/>
  <c r="N15" i="7" s="1"/>
  <c r="I14" i="7"/>
  <c r="N14" i="7" s="1"/>
  <c r="I13" i="7"/>
  <c r="N13" i="7" s="1"/>
  <c r="I12" i="7"/>
  <c r="N12" i="7" s="1"/>
  <c r="I11" i="7"/>
  <c r="N11" i="7" s="1"/>
  <c r="I10" i="7"/>
  <c r="N10" i="7" s="1"/>
  <c r="I9" i="7"/>
  <c r="N9" i="7" s="1"/>
  <c r="I8" i="7"/>
  <c r="N8" i="7" s="1"/>
  <c r="I7" i="7"/>
  <c r="N7" i="7" s="1"/>
  <c r="I4" i="7"/>
  <c r="M3" i="7"/>
  <c r="L3" i="7"/>
  <c r="I3" i="7"/>
  <c r="H99" i="6"/>
  <c r="G99" i="6"/>
  <c r="F99" i="6"/>
  <c r="E99" i="6"/>
  <c r="I99" i="6" s="1"/>
  <c r="I98" i="6"/>
  <c r="I97" i="6"/>
  <c r="I96" i="6"/>
  <c r="I95" i="6"/>
  <c r="H91" i="6"/>
  <c r="G91" i="6"/>
  <c r="F91" i="6"/>
  <c r="E91" i="6"/>
  <c r="I91" i="6" s="1"/>
  <c r="I90" i="6"/>
  <c r="I89" i="6"/>
  <c r="I88" i="6"/>
  <c r="I87" i="6"/>
  <c r="H83" i="6"/>
  <c r="G83" i="6"/>
  <c r="F83" i="6"/>
  <c r="I83" i="6" s="1"/>
  <c r="E83" i="6"/>
  <c r="I82" i="6"/>
  <c r="I81" i="6"/>
  <c r="I80" i="6"/>
  <c r="I79" i="6"/>
  <c r="H75" i="6"/>
  <c r="G75" i="6"/>
  <c r="F75" i="6"/>
  <c r="E75" i="6"/>
  <c r="I75" i="6" s="1"/>
  <c r="I74" i="6"/>
  <c r="I73" i="6"/>
  <c r="I72" i="6"/>
  <c r="I71" i="6"/>
  <c r="H67" i="6"/>
  <c r="I67" i="6" s="1"/>
  <c r="G67" i="6"/>
  <c r="F67" i="6"/>
  <c r="E67" i="6"/>
  <c r="I66" i="6"/>
  <c r="I65" i="6"/>
  <c r="I64" i="6"/>
  <c r="I63" i="6"/>
  <c r="I59" i="6"/>
  <c r="H59" i="6"/>
  <c r="G59" i="6"/>
  <c r="F59" i="6"/>
  <c r="E59" i="6"/>
  <c r="I58" i="6"/>
  <c r="I57" i="6"/>
  <c r="I56" i="6"/>
  <c r="I55" i="6"/>
  <c r="H51" i="6"/>
  <c r="G51" i="6"/>
  <c r="F51" i="6"/>
  <c r="E51" i="6"/>
  <c r="I51" i="6" s="1"/>
  <c r="I50" i="6"/>
  <c r="I49" i="6"/>
  <c r="I48" i="6"/>
  <c r="I47" i="6"/>
  <c r="H43" i="6"/>
  <c r="G43" i="6"/>
  <c r="F43" i="6"/>
  <c r="E43" i="6"/>
  <c r="I43" i="6" s="1"/>
  <c r="I42" i="6"/>
  <c r="I41" i="6"/>
  <c r="I40" i="6"/>
  <c r="I39" i="6"/>
  <c r="H35" i="6"/>
  <c r="G35" i="6"/>
  <c r="F35" i="6"/>
  <c r="E35" i="6"/>
  <c r="I34" i="6"/>
  <c r="I33" i="6"/>
  <c r="I32" i="6"/>
  <c r="I31" i="6"/>
  <c r="H27" i="6"/>
  <c r="G27" i="6"/>
  <c r="F27" i="6"/>
  <c r="E27" i="6"/>
  <c r="I27" i="6" s="1"/>
  <c r="I26" i="6"/>
  <c r="I25" i="6"/>
  <c r="I24" i="6"/>
  <c r="I23" i="6"/>
  <c r="I22" i="6"/>
  <c r="H19" i="6"/>
  <c r="G19" i="6"/>
  <c r="I19" i="6" s="1"/>
  <c r="F19" i="6"/>
  <c r="E19" i="6"/>
  <c r="I18" i="6"/>
  <c r="I17" i="6"/>
  <c r="I16" i="6"/>
  <c r="I15" i="6"/>
  <c r="G13" i="6"/>
  <c r="G21" i="6" s="1"/>
  <c r="G29" i="6" s="1"/>
  <c r="G37" i="6" s="1"/>
  <c r="G45" i="6" s="1"/>
  <c r="G53" i="6" s="1"/>
  <c r="G61" i="6" s="1"/>
  <c r="G69" i="6" s="1"/>
  <c r="G77" i="6" s="1"/>
  <c r="G85" i="6" s="1"/>
  <c r="G93" i="6" s="1"/>
  <c r="G101" i="6" s="1"/>
  <c r="F13" i="6"/>
  <c r="F21" i="6" s="1"/>
  <c r="F29" i="6" s="1"/>
  <c r="F37" i="6" s="1"/>
  <c r="F45" i="6" s="1"/>
  <c r="F53" i="6" s="1"/>
  <c r="F61" i="6" s="1"/>
  <c r="F69" i="6" s="1"/>
  <c r="F77" i="6" s="1"/>
  <c r="F85" i="6" s="1"/>
  <c r="F93" i="6" s="1"/>
  <c r="F101" i="6" s="1"/>
  <c r="F12" i="6"/>
  <c r="F20" i="6" s="1"/>
  <c r="F28" i="6" s="1"/>
  <c r="F36" i="6" s="1"/>
  <c r="F44" i="6" s="1"/>
  <c r="F52" i="6" s="1"/>
  <c r="F60" i="6" s="1"/>
  <c r="F68" i="6" s="1"/>
  <c r="F76" i="6" s="1"/>
  <c r="F84" i="6" s="1"/>
  <c r="F92" i="6" s="1"/>
  <c r="F100" i="6" s="1"/>
  <c r="E12" i="6"/>
  <c r="E20" i="6" s="1"/>
  <c r="H11" i="6"/>
  <c r="H12" i="6" s="1"/>
  <c r="H20" i="6" s="1"/>
  <c r="H28" i="6" s="1"/>
  <c r="G11" i="6"/>
  <c r="G12" i="6" s="1"/>
  <c r="F11" i="6"/>
  <c r="E11" i="6"/>
  <c r="I11" i="6" s="1"/>
  <c r="I10" i="6"/>
  <c r="I9" i="6"/>
  <c r="I8" i="6"/>
  <c r="I7" i="6"/>
  <c r="I4" i="6"/>
  <c r="I3" i="6"/>
  <c r="E99" i="5"/>
  <c r="F99" i="5" s="1"/>
  <c r="F98" i="5"/>
  <c r="F97" i="5"/>
  <c r="F96" i="5"/>
  <c r="F95" i="5"/>
  <c r="E91" i="5"/>
  <c r="F91" i="5" s="1"/>
  <c r="F90" i="5"/>
  <c r="F89" i="5"/>
  <c r="F88" i="5"/>
  <c r="F87" i="5"/>
  <c r="E83" i="5"/>
  <c r="F83" i="5" s="1"/>
  <c r="F82" i="5"/>
  <c r="F81" i="5"/>
  <c r="F80" i="5"/>
  <c r="F79" i="5"/>
  <c r="E75" i="5"/>
  <c r="F75" i="5" s="1"/>
  <c r="F74" i="5"/>
  <c r="F73" i="5"/>
  <c r="F72" i="5"/>
  <c r="F71" i="5"/>
  <c r="E67" i="5"/>
  <c r="F67" i="5" s="1"/>
  <c r="F66" i="5"/>
  <c r="F65" i="5"/>
  <c r="F64" i="5"/>
  <c r="F63" i="5"/>
  <c r="E59" i="5"/>
  <c r="F59" i="5" s="1"/>
  <c r="F58" i="5"/>
  <c r="F57" i="5"/>
  <c r="F56" i="5"/>
  <c r="F55" i="5"/>
  <c r="E51" i="5"/>
  <c r="F51" i="5" s="1"/>
  <c r="F50" i="5"/>
  <c r="F49" i="5"/>
  <c r="F48" i="5"/>
  <c r="F47" i="5"/>
  <c r="E43" i="5"/>
  <c r="F43" i="5" s="1"/>
  <c r="F42" i="5"/>
  <c r="F41" i="5"/>
  <c r="F40" i="5"/>
  <c r="F39" i="5"/>
  <c r="E35" i="5"/>
  <c r="F35" i="5" s="1"/>
  <c r="F34" i="5"/>
  <c r="F33" i="5"/>
  <c r="F32" i="5"/>
  <c r="F31" i="5"/>
  <c r="E27" i="5"/>
  <c r="F27" i="5" s="1"/>
  <c r="F26" i="5"/>
  <c r="F25" i="5"/>
  <c r="F24" i="5"/>
  <c r="F23" i="5"/>
  <c r="E19" i="5"/>
  <c r="F19" i="5" s="1"/>
  <c r="F18" i="5"/>
  <c r="F17" i="5"/>
  <c r="F16" i="5"/>
  <c r="F15" i="5"/>
  <c r="E13" i="5"/>
  <c r="F13" i="5" s="1"/>
  <c r="E12" i="5"/>
  <c r="F12" i="5" s="1"/>
  <c r="E11" i="5"/>
  <c r="F11" i="5" s="1"/>
  <c r="F10" i="5"/>
  <c r="F9" i="5"/>
  <c r="F8" i="5"/>
  <c r="F7" i="5"/>
  <c r="F4" i="5"/>
  <c r="F3" i="5"/>
  <c r="K111" i="4"/>
  <c r="J111" i="4"/>
  <c r="I111" i="4"/>
  <c r="H111" i="4"/>
  <c r="G111" i="4"/>
  <c r="F111" i="4"/>
  <c r="E111" i="4"/>
  <c r="L111" i="4" s="1"/>
  <c r="L110" i="4"/>
  <c r="L109" i="4"/>
  <c r="L108" i="4"/>
  <c r="L107" i="4"/>
  <c r="L106" i="4"/>
  <c r="L105" i="4"/>
  <c r="K102" i="4"/>
  <c r="J102" i="4"/>
  <c r="I102" i="4"/>
  <c r="H102" i="4"/>
  <c r="G102" i="4"/>
  <c r="F102" i="4"/>
  <c r="E102" i="4"/>
  <c r="L102" i="4" s="1"/>
  <c r="L101" i="4"/>
  <c r="L100" i="4"/>
  <c r="L99" i="4"/>
  <c r="L98" i="4"/>
  <c r="L97" i="4"/>
  <c r="L96" i="4"/>
  <c r="K93" i="4"/>
  <c r="J93" i="4"/>
  <c r="I93" i="4"/>
  <c r="H93" i="4"/>
  <c r="G93" i="4"/>
  <c r="F93" i="4"/>
  <c r="E93" i="4"/>
  <c r="L93" i="4" s="1"/>
  <c r="L92" i="4"/>
  <c r="L91" i="4"/>
  <c r="L90" i="4"/>
  <c r="L89" i="4"/>
  <c r="L88" i="4"/>
  <c r="L87" i="4"/>
  <c r="K84" i="4"/>
  <c r="J84" i="4"/>
  <c r="I84" i="4"/>
  <c r="H84" i="4"/>
  <c r="G84" i="4"/>
  <c r="F84" i="4"/>
  <c r="L84" i="4" s="1"/>
  <c r="E84" i="4"/>
  <c r="L83" i="4"/>
  <c r="L82" i="4"/>
  <c r="L81" i="4"/>
  <c r="L80" i="4"/>
  <c r="L79" i="4"/>
  <c r="L78" i="4"/>
  <c r="K75" i="4"/>
  <c r="J75" i="4"/>
  <c r="I75" i="4"/>
  <c r="H75" i="4"/>
  <c r="G75" i="4"/>
  <c r="F75" i="4"/>
  <c r="E75" i="4"/>
  <c r="L75" i="4" s="1"/>
  <c r="L74" i="4"/>
  <c r="L73" i="4"/>
  <c r="L72" i="4"/>
  <c r="L71" i="4"/>
  <c r="L70" i="4"/>
  <c r="L69" i="4"/>
  <c r="K66" i="4"/>
  <c r="J66" i="4"/>
  <c r="I66" i="4"/>
  <c r="H66" i="4"/>
  <c r="G66" i="4"/>
  <c r="F66" i="4"/>
  <c r="E66" i="4"/>
  <c r="L66" i="4" s="1"/>
  <c r="L65" i="4"/>
  <c r="L64" i="4"/>
  <c r="L63" i="4"/>
  <c r="L62" i="4"/>
  <c r="L61" i="4"/>
  <c r="L60" i="4"/>
  <c r="K57" i="4"/>
  <c r="J57" i="4"/>
  <c r="I57" i="4"/>
  <c r="H57" i="4"/>
  <c r="G57" i="4"/>
  <c r="F57" i="4"/>
  <c r="E57" i="4"/>
  <c r="L57" i="4" s="1"/>
  <c r="L56" i="4"/>
  <c r="L55" i="4"/>
  <c r="L54" i="4"/>
  <c r="L53" i="4"/>
  <c r="L52" i="4"/>
  <c r="L51" i="4"/>
  <c r="K48" i="4"/>
  <c r="J48" i="4"/>
  <c r="I48" i="4"/>
  <c r="H48" i="4"/>
  <c r="G48" i="4"/>
  <c r="F48" i="4"/>
  <c r="E48" i="4"/>
  <c r="L48" i="4" s="1"/>
  <c r="L47" i="4"/>
  <c r="L46" i="4"/>
  <c r="L45" i="4"/>
  <c r="L44" i="4"/>
  <c r="L43" i="4"/>
  <c r="L42" i="4"/>
  <c r="K39" i="4"/>
  <c r="J39" i="4"/>
  <c r="I39" i="4"/>
  <c r="H39" i="4"/>
  <c r="G39" i="4"/>
  <c r="F39" i="4"/>
  <c r="E39" i="4"/>
  <c r="L38" i="4"/>
  <c r="L37" i="4"/>
  <c r="L36" i="4"/>
  <c r="L35" i="4"/>
  <c r="L34" i="4"/>
  <c r="L33" i="4"/>
  <c r="K30" i="4"/>
  <c r="J30" i="4"/>
  <c r="I30" i="4"/>
  <c r="H30" i="4"/>
  <c r="G30" i="4"/>
  <c r="F30" i="4"/>
  <c r="E30" i="4"/>
  <c r="L29" i="4"/>
  <c r="L28" i="4"/>
  <c r="L27" i="4"/>
  <c r="L26" i="4"/>
  <c r="L25" i="4"/>
  <c r="L24" i="4"/>
  <c r="K23" i="4"/>
  <c r="K32" i="4" s="1"/>
  <c r="K21" i="4"/>
  <c r="J21" i="4"/>
  <c r="I21" i="4"/>
  <c r="H21" i="4"/>
  <c r="G21" i="4"/>
  <c r="F21" i="4"/>
  <c r="E21" i="4"/>
  <c r="L21" i="4" s="1"/>
  <c r="L20" i="4"/>
  <c r="L19" i="4"/>
  <c r="L18" i="4"/>
  <c r="L17" i="4"/>
  <c r="L16" i="4"/>
  <c r="K14" i="4"/>
  <c r="I14" i="4"/>
  <c r="I23" i="4" s="1"/>
  <c r="I32" i="4" s="1"/>
  <c r="I41" i="4" s="1"/>
  <c r="I50" i="4" s="1"/>
  <c r="I59" i="4" s="1"/>
  <c r="I68" i="4" s="1"/>
  <c r="I77" i="4" s="1"/>
  <c r="I86" i="4" s="1"/>
  <c r="I95" i="4" s="1"/>
  <c r="I104" i="4" s="1"/>
  <c r="I113" i="4" s="1"/>
  <c r="F14" i="4"/>
  <c r="F23" i="4" s="1"/>
  <c r="F32" i="4" s="1"/>
  <c r="F41" i="4" s="1"/>
  <c r="F50" i="4" s="1"/>
  <c r="F59" i="4" s="1"/>
  <c r="F68" i="4" s="1"/>
  <c r="F77" i="4" s="1"/>
  <c r="F86" i="4" s="1"/>
  <c r="F95" i="4" s="1"/>
  <c r="F104" i="4" s="1"/>
  <c r="F113" i="4" s="1"/>
  <c r="K13" i="4"/>
  <c r="K22" i="4" s="1"/>
  <c r="K31" i="4" s="1"/>
  <c r="E13" i="4"/>
  <c r="E22" i="4" s="1"/>
  <c r="K12" i="4"/>
  <c r="J12" i="4"/>
  <c r="J13" i="4" s="1"/>
  <c r="J22" i="4" s="1"/>
  <c r="I12" i="4"/>
  <c r="I13" i="4" s="1"/>
  <c r="I22" i="4" s="1"/>
  <c r="H12" i="4"/>
  <c r="H13" i="4" s="1"/>
  <c r="H22" i="4" s="1"/>
  <c r="G12" i="4"/>
  <c r="G13" i="4" s="1"/>
  <c r="G22" i="4" s="1"/>
  <c r="F12" i="4"/>
  <c r="F13" i="4" s="1"/>
  <c r="E12" i="4"/>
  <c r="E14" i="4" s="1"/>
  <c r="L11" i="4"/>
  <c r="L10" i="4"/>
  <c r="L9" i="4"/>
  <c r="L8" i="4"/>
  <c r="L7" i="4"/>
  <c r="L4" i="4"/>
  <c r="L3" i="4"/>
  <c r="P145" i="8" l="1"/>
  <c r="P169" i="8" s="1"/>
  <c r="P193" i="8" s="1"/>
  <c r="P217" i="8" s="1"/>
  <c r="P241" i="8" s="1"/>
  <c r="P265" i="8" s="1"/>
  <c r="P289" i="8" s="1"/>
  <c r="P313" i="8" s="1"/>
  <c r="P337" i="8" s="1"/>
  <c r="H70" i="7"/>
  <c r="H85" i="7" s="1"/>
  <c r="H100" i="7" s="1"/>
  <c r="H115" i="7" s="1"/>
  <c r="H130" i="7" s="1"/>
  <c r="H145" i="7" s="1"/>
  <c r="H160" i="7" s="1"/>
  <c r="H175" i="7" s="1"/>
  <c r="H190" i="7" s="1"/>
  <c r="H71" i="7"/>
  <c r="H86" i="7" s="1"/>
  <c r="H101" i="7" s="1"/>
  <c r="H116" i="7" s="1"/>
  <c r="H131" i="7" s="1"/>
  <c r="H146" i="7" s="1"/>
  <c r="H161" i="7" s="1"/>
  <c r="H176" i="7" s="1"/>
  <c r="H191" i="7" s="1"/>
  <c r="M61" i="9"/>
  <c r="M75" i="9" s="1"/>
  <c r="M89" i="9" s="1"/>
  <c r="M103" i="9" s="1"/>
  <c r="M117" i="9" s="1"/>
  <c r="M131" i="9" s="1"/>
  <c r="M145" i="9" s="1"/>
  <c r="M159" i="9" s="1"/>
  <c r="M173" i="9" s="1"/>
  <c r="J60" i="9"/>
  <c r="J74" i="9" s="1"/>
  <c r="J88" i="9" s="1"/>
  <c r="J102" i="9" s="1"/>
  <c r="J116" i="9" s="1"/>
  <c r="J130" i="9" s="1"/>
  <c r="J144" i="9" s="1"/>
  <c r="J158" i="9" s="1"/>
  <c r="J172" i="9" s="1"/>
  <c r="AC48" i="8"/>
  <c r="AC80" i="8" s="1"/>
  <c r="H47" i="8"/>
  <c r="H79" i="8" s="1"/>
  <c r="I47" i="8"/>
  <c r="I79" i="8" s="1"/>
  <c r="J47" i="8"/>
  <c r="J79" i="8" s="1"/>
  <c r="J111" i="8" s="1"/>
  <c r="K47" i="8"/>
  <c r="K79" i="8" s="1"/>
  <c r="K111" i="8" s="1"/>
  <c r="L47" i="8"/>
  <c r="L79" i="8" s="1"/>
  <c r="M47" i="8"/>
  <c r="M79" i="8" s="1"/>
  <c r="M111" i="8" s="1"/>
  <c r="M144" i="8" s="1"/>
  <c r="M168" i="8" s="1"/>
  <c r="M192" i="8" s="1"/>
  <c r="M216" i="8" s="1"/>
  <c r="M240" i="8" s="1"/>
  <c r="M264" i="8" s="1"/>
  <c r="M288" i="8" s="1"/>
  <c r="M312" i="8" s="1"/>
  <c r="M336" i="8" s="1"/>
  <c r="E53" i="3" s="1"/>
  <c r="AF47" i="8"/>
  <c r="AF79" i="8" s="1"/>
  <c r="AF111" i="8" s="1"/>
  <c r="AH191" i="8"/>
  <c r="AG47" i="8"/>
  <c r="AG79" i="8" s="1"/>
  <c r="AG111" i="8" s="1"/>
  <c r="AG144" i="8" s="1"/>
  <c r="AG168" i="8" s="1"/>
  <c r="AG192" i="8" s="1"/>
  <c r="AG216" i="8" s="1"/>
  <c r="AG240" i="8" s="1"/>
  <c r="AG264" i="8" s="1"/>
  <c r="AG288" i="8" s="1"/>
  <c r="AG312" i="8" s="1"/>
  <c r="AG336" i="8" s="1"/>
  <c r="E48" i="8"/>
  <c r="E80" i="8" s="1"/>
  <c r="Q48" i="8"/>
  <c r="Q80" i="8" s="1"/>
  <c r="Q112" i="8" s="1"/>
  <c r="Q145" i="8" s="1"/>
  <c r="Q169" i="8" s="1"/>
  <c r="Q193" i="8" s="1"/>
  <c r="Q217" i="8" s="1"/>
  <c r="Q241" i="8" s="1"/>
  <c r="Q265" i="8" s="1"/>
  <c r="Q289" i="8" s="1"/>
  <c r="Q313" i="8" s="1"/>
  <c r="Q337" i="8" s="1"/>
  <c r="M145" i="8"/>
  <c r="M169" i="8" s="1"/>
  <c r="M193" i="8" s="1"/>
  <c r="M217" i="8" s="1"/>
  <c r="M241" i="8" s="1"/>
  <c r="M265" i="8" s="1"/>
  <c r="M289" i="8" s="1"/>
  <c r="M313" i="8" s="1"/>
  <c r="M337" i="8" s="1"/>
  <c r="Y145" i="8"/>
  <c r="Y169" i="8" s="1"/>
  <c r="Y193" i="8" s="1"/>
  <c r="Y217" i="8" s="1"/>
  <c r="Y241" i="8" s="1"/>
  <c r="Y265" i="8" s="1"/>
  <c r="Y289" i="8" s="1"/>
  <c r="Y313" i="8" s="1"/>
  <c r="Y337" i="8" s="1"/>
  <c r="G145" i="8"/>
  <c r="G169" i="8" s="1"/>
  <c r="G193" i="8" s="1"/>
  <c r="G217" i="8" s="1"/>
  <c r="G241" i="8" s="1"/>
  <c r="G265" i="8" s="1"/>
  <c r="G289" i="8" s="1"/>
  <c r="G313" i="8" s="1"/>
  <c r="G337" i="8" s="1"/>
  <c r="S145" i="8"/>
  <c r="S169" i="8" s="1"/>
  <c r="S193" i="8" s="1"/>
  <c r="S217" i="8" s="1"/>
  <c r="S241" i="8" s="1"/>
  <c r="S265" i="8" s="1"/>
  <c r="S289" i="8" s="1"/>
  <c r="S313" i="8" s="1"/>
  <c r="S337" i="8" s="1"/>
  <c r="AE145" i="8"/>
  <c r="AE169" i="8" s="1"/>
  <c r="AE193" i="8" s="1"/>
  <c r="AE217" i="8" s="1"/>
  <c r="AE241" i="8" s="1"/>
  <c r="AE265" i="8" s="1"/>
  <c r="AE289" i="8" s="1"/>
  <c r="AE313" i="8" s="1"/>
  <c r="AE337" i="8" s="1"/>
  <c r="F64" i="10"/>
  <c r="F78" i="10" s="1"/>
  <c r="F92" i="10" s="1"/>
  <c r="F106" i="10" s="1"/>
  <c r="F120" i="10" s="1"/>
  <c r="F134" i="10" s="1"/>
  <c r="F148" i="10" s="1"/>
  <c r="F162" i="10" s="1"/>
  <c r="F176" i="10" s="1"/>
  <c r="I69" i="7"/>
  <c r="K61" i="9"/>
  <c r="K75" i="9" s="1"/>
  <c r="K89" i="9" s="1"/>
  <c r="K103" i="9" s="1"/>
  <c r="K117" i="9" s="1"/>
  <c r="K131" i="9" s="1"/>
  <c r="K145" i="9" s="1"/>
  <c r="K159" i="9" s="1"/>
  <c r="K173" i="9" s="1"/>
  <c r="N171" i="9"/>
  <c r="S171" i="9" s="1"/>
  <c r="N31" i="9"/>
  <c r="S31" i="9" s="1"/>
  <c r="G46" i="9"/>
  <c r="G60" i="9" s="1"/>
  <c r="G74" i="9" s="1"/>
  <c r="G88" i="9" s="1"/>
  <c r="G102" i="9" s="1"/>
  <c r="G116" i="9" s="1"/>
  <c r="G130" i="9" s="1"/>
  <c r="G144" i="9" s="1"/>
  <c r="G158" i="9" s="1"/>
  <c r="G172" i="9" s="1"/>
  <c r="N73" i="9"/>
  <c r="S73" i="9" s="1"/>
  <c r="N87" i="9"/>
  <c r="S87" i="9" s="1"/>
  <c r="N129" i="9"/>
  <c r="S129" i="9" s="1"/>
  <c r="N143" i="9"/>
  <c r="S143" i="9" s="1"/>
  <c r="M18" i="9"/>
  <c r="M32" i="9" s="1"/>
  <c r="M46" i="9" s="1"/>
  <c r="M60" i="9" s="1"/>
  <c r="M74" i="9" s="1"/>
  <c r="M88" i="9" s="1"/>
  <c r="M102" i="9" s="1"/>
  <c r="M116" i="9" s="1"/>
  <c r="M130" i="9" s="1"/>
  <c r="M144" i="9" s="1"/>
  <c r="M158" i="9" s="1"/>
  <c r="M172" i="9" s="1"/>
  <c r="F19" i="9"/>
  <c r="F33" i="9" s="1"/>
  <c r="F47" i="9" s="1"/>
  <c r="F61" i="9" s="1"/>
  <c r="F75" i="9" s="1"/>
  <c r="F89" i="9" s="1"/>
  <c r="F103" i="9" s="1"/>
  <c r="F117" i="9" s="1"/>
  <c r="F131" i="9" s="1"/>
  <c r="F145" i="9" s="1"/>
  <c r="F159" i="9" s="1"/>
  <c r="F173" i="9" s="1"/>
  <c r="F32" i="9"/>
  <c r="F46" i="9" s="1"/>
  <c r="F60" i="9" s="1"/>
  <c r="F74" i="9" s="1"/>
  <c r="F88" i="9" s="1"/>
  <c r="F102" i="9" s="1"/>
  <c r="F116" i="9" s="1"/>
  <c r="F130" i="9" s="1"/>
  <c r="F144" i="9" s="1"/>
  <c r="F158" i="9" s="1"/>
  <c r="F172" i="9" s="1"/>
  <c r="I19" i="9"/>
  <c r="I33" i="9" s="1"/>
  <c r="I47" i="9" s="1"/>
  <c r="I61" i="9" s="1"/>
  <c r="I75" i="9" s="1"/>
  <c r="I89" i="9" s="1"/>
  <c r="I103" i="9" s="1"/>
  <c r="I117" i="9" s="1"/>
  <c r="I131" i="9" s="1"/>
  <c r="I145" i="9" s="1"/>
  <c r="I159" i="9" s="1"/>
  <c r="I173" i="9" s="1"/>
  <c r="G47" i="9"/>
  <c r="G61" i="9" s="1"/>
  <c r="G75" i="9" s="1"/>
  <c r="G89" i="9" s="1"/>
  <c r="G103" i="9" s="1"/>
  <c r="G117" i="9" s="1"/>
  <c r="G131" i="9" s="1"/>
  <c r="G145" i="9" s="1"/>
  <c r="G159" i="9" s="1"/>
  <c r="G173" i="9" s="1"/>
  <c r="H32" i="9"/>
  <c r="L40" i="12"/>
  <c r="Q40" i="12" s="1"/>
  <c r="L62" i="10"/>
  <c r="AA112" i="8"/>
  <c r="AA145" i="8" s="1"/>
  <c r="AA169" i="8" s="1"/>
  <c r="AA193" i="8" s="1"/>
  <c r="AA217" i="8" s="1"/>
  <c r="AA241" i="8" s="1"/>
  <c r="AA265" i="8" s="1"/>
  <c r="AA289" i="8" s="1"/>
  <c r="AA313" i="8" s="1"/>
  <c r="AA337" i="8" s="1"/>
  <c r="J144" i="8"/>
  <c r="J168" i="8" s="1"/>
  <c r="J192" i="8" s="1"/>
  <c r="J216" i="8" s="1"/>
  <c r="J240" i="8" s="1"/>
  <c r="J264" i="8" s="1"/>
  <c r="J288" i="8" s="1"/>
  <c r="J312" i="8" s="1"/>
  <c r="J336" i="8" s="1"/>
  <c r="K144" i="8"/>
  <c r="K168" i="8" s="1"/>
  <c r="K192" i="8" s="1"/>
  <c r="K216" i="8" s="1"/>
  <c r="K240" i="8" s="1"/>
  <c r="K264" i="8" s="1"/>
  <c r="K288" i="8" s="1"/>
  <c r="K312" i="8" s="1"/>
  <c r="K336" i="8" s="1"/>
  <c r="AF144" i="8"/>
  <c r="AF168" i="8" s="1"/>
  <c r="AF192" i="8" s="1"/>
  <c r="AF216" i="8" s="1"/>
  <c r="AF240" i="8" s="1"/>
  <c r="AF264" i="8" s="1"/>
  <c r="AF288" i="8" s="1"/>
  <c r="AF312" i="8" s="1"/>
  <c r="AF336" i="8" s="1"/>
  <c r="AH143" i="8"/>
  <c r="L60" i="9"/>
  <c r="L74" i="9" s="1"/>
  <c r="L88" i="9" s="1"/>
  <c r="L102" i="9" s="1"/>
  <c r="L116" i="9" s="1"/>
  <c r="L130" i="9" s="1"/>
  <c r="L144" i="9" s="1"/>
  <c r="L158" i="9" s="1"/>
  <c r="L172" i="9" s="1"/>
  <c r="N59" i="9"/>
  <c r="S59" i="9" s="1"/>
  <c r="H36" i="6"/>
  <c r="H44" i="6" s="1"/>
  <c r="H52" i="6" s="1"/>
  <c r="H60" i="6" s="1"/>
  <c r="H68" i="6" s="1"/>
  <c r="H76" i="6" s="1"/>
  <c r="H84" i="6" s="1"/>
  <c r="H92" i="6" s="1"/>
  <c r="H100" i="6" s="1"/>
  <c r="I35" i="6"/>
  <c r="K40" i="4"/>
  <c r="K49" i="4" s="1"/>
  <c r="K58" i="4" s="1"/>
  <c r="K67" i="4" s="1"/>
  <c r="K76" i="4" s="1"/>
  <c r="K85" i="4" s="1"/>
  <c r="K94" i="4" s="1"/>
  <c r="K103" i="4" s="1"/>
  <c r="K112" i="4" s="1"/>
  <c r="L39" i="4"/>
  <c r="K41" i="4"/>
  <c r="K50" i="4" s="1"/>
  <c r="K59" i="4" s="1"/>
  <c r="K68" i="4" s="1"/>
  <c r="K77" i="4" s="1"/>
  <c r="K86" i="4" s="1"/>
  <c r="K95" i="4" s="1"/>
  <c r="K104" i="4" s="1"/>
  <c r="K113" i="4" s="1"/>
  <c r="H86" i="3"/>
  <c r="H33" i="3"/>
  <c r="H8" i="3" s="1"/>
  <c r="H7" i="3" s="1"/>
  <c r="I49" i="10"/>
  <c r="I63" i="10" s="1"/>
  <c r="I77" i="10" s="1"/>
  <c r="I91" i="10" s="1"/>
  <c r="I105" i="10" s="1"/>
  <c r="I119" i="10" s="1"/>
  <c r="I133" i="10" s="1"/>
  <c r="I147" i="10" s="1"/>
  <c r="I161" i="10" s="1"/>
  <c r="I175" i="10" s="1"/>
  <c r="K49" i="10"/>
  <c r="K63" i="10" s="1"/>
  <c r="K77" i="10" s="1"/>
  <c r="K91" i="10" s="1"/>
  <c r="K105" i="10" s="1"/>
  <c r="K119" i="10" s="1"/>
  <c r="K133" i="10" s="1"/>
  <c r="K147" i="10" s="1"/>
  <c r="K161" i="10" s="1"/>
  <c r="K175" i="10" s="1"/>
  <c r="H49" i="10"/>
  <c r="H63" i="10" s="1"/>
  <c r="H77" i="10" s="1"/>
  <c r="H91" i="10" s="1"/>
  <c r="H105" i="10" s="1"/>
  <c r="H119" i="10" s="1"/>
  <c r="H133" i="10" s="1"/>
  <c r="H147" i="10" s="1"/>
  <c r="H161" i="10" s="1"/>
  <c r="H175" i="10" s="1"/>
  <c r="G49" i="10"/>
  <c r="G63" i="10" s="1"/>
  <c r="G77" i="10" s="1"/>
  <c r="G91" i="10" s="1"/>
  <c r="G105" i="10" s="1"/>
  <c r="G119" i="10" s="1"/>
  <c r="G133" i="10" s="1"/>
  <c r="G147" i="10" s="1"/>
  <c r="G161" i="10" s="1"/>
  <c r="G175" i="10" s="1"/>
  <c r="G50" i="10"/>
  <c r="G64" i="10" s="1"/>
  <c r="G78" i="10" s="1"/>
  <c r="G92" i="10" s="1"/>
  <c r="G106" i="10" s="1"/>
  <c r="G120" i="10" s="1"/>
  <c r="G134" i="10" s="1"/>
  <c r="G148" i="10" s="1"/>
  <c r="G162" i="10" s="1"/>
  <c r="G176" i="10" s="1"/>
  <c r="H50" i="10"/>
  <c r="H64" i="10" s="1"/>
  <c r="H78" i="10" s="1"/>
  <c r="H92" i="10" s="1"/>
  <c r="H106" i="10" s="1"/>
  <c r="H120" i="10" s="1"/>
  <c r="H134" i="10" s="1"/>
  <c r="H148" i="10" s="1"/>
  <c r="H162" i="10" s="1"/>
  <c r="H176" i="10" s="1"/>
  <c r="AC111" i="8"/>
  <c r="AC144" i="8" s="1"/>
  <c r="AC168" i="8" s="1"/>
  <c r="AC192" i="8" s="1"/>
  <c r="AC216" i="8" s="1"/>
  <c r="AC240" i="8" s="1"/>
  <c r="AC264" i="8" s="1"/>
  <c r="AC288" i="8" s="1"/>
  <c r="AC312" i="8" s="1"/>
  <c r="AC336" i="8" s="1"/>
  <c r="E74" i="3" s="1"/>
  <c r="AC112" i="8"/>
  <c r="AC145" i="8" s="1"/>
  <c r="AC169" i="8" s="1"/>
  <c r="AC193" i="8" s="1"/>
  <c r="AC217" i="8" s="1"/>
  <c r="AC241" i="8" s="1"/>
  <c r="AC265" i="8" s="1"/>
  <c r="AC289" i="8" s="1"/>
  <c r="AC313" i="8" s="1"/>
  <c r="AC337" i="8" s="1"/>
  <c r="H112" i="8"/>
  <c r="H145" i="8" s="1"/>
  <c r="H169" i="8" s="1"/>
  <c r="H193" i="8" s="1"/>
  <c r="H217" i="8" s="1"/>
  <c r="H241" i="8" s="1"/>
  <c r="H265" i="8" s="1"/>
  <c r="H289" i="8" s="1"/>
  <c r="H313" i="8" s="1"/>
  <c r="H337" i="8" s="1"/>
  <c r="I112" i="8"/>
  <c r="I145" i="8" s="1"/>
  <c r="I169" i="8" s="1"/>
  <c r="I193" i="8" s="1"/>
  <c r="I217" i="8" s="1"/>
  <c r="I241" i="8" s="1"/>
  <c r="I265" i="8" s="1"/>
  <c r="I289" i="8" s="1"/>
  <c r="I313" i="8" s="1"/>
  <c r="I337" i="8" s="1"/>
  <c r="U112" i="8"/>
  <c r="U145" i="8" s="1"/>
  <c r="U169" i="8" s="1"/>
  <c r="U193" i="8" s="1"/>
  <c r="U217" i="8" s="1"/>
  <c r="U241" i="8" s="1"/>
  <c r="U265" i="8" s="1"/>
  <c r="U289" i="8" s="1"/>
  <c r="U313" i="8" s="1"/>
  <c r="U337" i="8" s="1"/>
  <c r="AG112" i="8"/>
  <c r="AG145" i="8" s="1"/>
  <c r="AG169" i="8" s="1"/>
  <c r="AG193" i="8" s="1"/>
  <c r="AG217" i="8" s="1"/>
  <c r="AG241" i="8" s="1"/>
  <c r="AG265" i="8" s="1"/>
  <c r="AG289" i="8" s="1"/>
  <c r="AG313" i="8" s="1"/>
  <c r="AG337" i="8" s="1"/>
  <c r="V112" i="8"/>
  <c r="V145" i="8" s="1"/>
  <c r="V169" i="8" s="1"/>
  <c r="V193" i="8" s="1"/>
  <c r="V217" i="8" s="1"/>
  <c r="V241" i="8" s="1"/>
  <c r="V265" i="8" s="1"/>
  <c r="V289" i="8" s="1"/>
  <c r="V313" i="8" s="1"/>
  <c r="V337" i="8" s="1"/>
  <c r="H111" i="8"/>
  <c r="H144" i="8" s="1"/>
  <c r="H168" i="8" s="1"/>
  <c r="H192" i="8" s="1"/>
  <c r="H216" i="8" s="1"/>
  <c r="H240" i="8" s="1"/>
  <c r="H264" i="8" s="1"/>
  <c r="H288" i="8" s="1"/>
  <c r="H312" i="8" s="1"/>
  <c r="H336" i="8" s="1"/>
  <c r="I111" i="8"/>
  <c r="I144" i="8" s="1"/>
  <c r="I168" i="8" s="1"/>
  <c r="I192" i="8" s="1"/>
  <c r="I216" i="8" s="1"/>
  <c r="I240" i="8" s="1"/>
  <c r="I264" i="8" s="1"/>
  <c r="I288" i="8" s="1"/>
  <c r="I312" i="8" s="1"/>
  <c r="I336" i="8" s="1"/>
  <c r="O112" i="8"/>
  <c r="O145" i="8" s="1"/>
  <c r="O169" i="8" s="1"/>
  <c r="O193" i="8" s="1"/>
  <c r="O217" i="8" s="1"/>
  <c r="O241" i="8" s="1"/>
  <c r="O265" i="8" s="1"/>
  <c r="O289" i="8" s="1"/>
  <c r="O313" i="8" s="1"/>
  <c r="O337" i="8" s="1"/>
  <c r="I48" i="7"/>
  <c r="H46" i="9"/>
  <c r="H60" i="9" s="1"/>
  <c r="H74" i="9" s="1"/>
  <c r="H88" i="9" s="1"/>
  <c r="H102" i="9" s="1"/>
  <c r="H116" i="9" s="1"/>
  <c r="H130" i="9" s="1"/>
  <c r="H144" i="9" s="1"/>
  <c r="H158" i="9" s="1"/>
  <c r="H172" i="9" s="1"/>
  <c r="N112" i="8"/>
  <c r="N145" i="8" s="1"/>
  <c r="N169" i="8" s="1"/>
  <c r="N193" i="8" s="1"/>
  <c r="N217" i="8" s="1"/>
  <c r="N241" i="8" s="1"/>
  <c r="N265" i="8" s="1"/>
  <c r="N289" i="8" s="1"/>
  <c r="N313" i="8" s="1"/>
  <c r="N337" i="8" s="1"/>
  <c r="F50" i="7"/>
  <c r="F71" i="7" s="1"/>
  <c r="F86" i="7" s="1"/>
  <c r="F101" i="7" s="1"/>
  <c r="F116" i="7" s="1"/>
  <c r="F131" i="7" s="1"/>
  <c r="F146" i="7" s="1"/>
  <c r="F161" i="7" s="1"/>
  <c r="F176" i="7" s="1"/>
  <c r="F191" i="7" s="1"/>
  <c r="L112" i="8"/>
  <c r="L145" i="8" s="1"/>
  <c r="L169" i="8" s="1"/>
  <c r="L193" i="8" s="1"/>
  <c r="L217" i="8" s="1"/>
  <c r="L241" i="8" s="1"/>
  <c r="L265" i="8" s="1"/>
  <c r="L289" i="8" s="1"/>
  <c r="L313" i="8" s="1"/>
  <c r="L337" i="8" s="1"/>
  <c r="L111" i="8"/>
  <c r="L144" i="8" s="1"/>
  <c r="L168" i="8" s="1"/>
  <c r="L192" i="8" s="1"/>
  <c r="L216" i="8" s="1"/>
  <c r="L240" i="8" s="1"/>
  <c r="L264" i="8" s="1"/>
  <c r="L288" i="8" s="1"/>
  <c r="L312" i="8" s="1"/>
  <c r="L336" i="8" s="1"/>
  <c r="E52" i="3" s="1"/>
  <c r="AH110" i="8"/>
  <c r="G49" i="7"/>
  <c r="G70" i="7" s="1"/>
  <c r="G85" i="7" s="1"/>
  <c r="G100" i="7" s="1"/>
  <c r="G115" i="7" s="1"/>
  <c r="G130" i="7" s="1"/>
  <c r="G145" i="7" s="1"/>
  <c r="G160" i="7" s="1"/>
  <c r="G175" i="7" s="1"/>
  <c r="G190" i="7" s="1"/>
  <c r="G50" i="7"/>
  <c r="G71" i="7" s="1"/>
  <c r="G86" i="7" s="1"/>
  <c r="G101" i="7" s="1"/>
  <c r="G116" i="7" s="1"/>
  <c r="G131" i="7" s="1"/>
  <c r="G146" i="7" s="1"/>
  <c r="G161" i="7" s="1"/>
  <c r="G176" i="7" s="1"/>
  <c r="G191" i="7" s="1"/>
  <c r="W47" i="8"/>
  <c r="W79" i="8" s="1"/>
  <c r="W111" i="8" s="1"/>
  <c r="W144" i="8" s="1"/>
  <c r="W168" i="8" s="1"/>
  <c r="W192" i="8" s="1"/>
  <c r="W216" i="8" s="1"/>
  <c r="W240" i="8" s="1"/>
  <c r="W264" i="8" s="1"/>
  <c r="W288" i="8" s="1"/>
  <c r="W312" i="8" s="1"/>
  <c r="W336" i="8" s="1"/>
  <c r="E67" i="3" s="1"/>
  <c r="X47" i="8"/>
  <c r="X79" i="8" s="1"/>
  <c r="X111" i="8" s="1"/>
  <c r="X144" i="8" s="1"/>
  <c r="X168" i="8" s="1"/>
  <c r="X192" i="8" s="1"/>
  <c r="X216" i="8" s="1"/>
  <c r="X240" i="8" s="1"/>
  <c r="X264" i="8" s="1"/>
  <c r="X288" i="8" s="1"/>
  <c r="X312" i="8" s="1"/>
  <c r="X336" i="8" s="1"/>
  <c r="E68" i="3" s="1"/>
  <c r="Y47" i="8"/>
  <c r="Y79" i="8" s="1"/>
  <c r="Y111" i="8" s="1"/>
  <c r="Y144" i="8" s="1"/>
  <c r="Y168" i="8" s="1"/>
  <c r="Y192" i="8" s="1"/>
  <c r="Y216" i="8" s="1"/>
  <c r="Y240" i="8" s="1"/>
  <c r="Y264" i="8" s="1"/>
  <c r="Y288" i="8" s="1"/>
  <c r="Y312" i="8" s="1"/>
  <c r="Y336" i="8" s="1"/>
  <c r="E69" i="3" s="1"/>
  <c r="U47" i="8"/>
  <c r="U79" i="8" s="1"/>
  <c r="U111" i="8" s="1"/>
  <c r="U144" i="8" s="1"/>
  <c r="U168" i="8" s="1"/>
  <c r="U192" i="8" s="1"/>
  <c r="U216" i="8" s="1"/>
  <c r="U240" i="8" s="1"/>
  <c r="U264" i="8" s="1"/>
  <c r="U288" i="8" s="1"/>
  <c r="U312" i="8" s="1"/>
  <c r="U336" i="8" s="1"/>
  <c r="E65" i="3" s="1"/>
  <c r="V47" i="8"/>
  <c r="V79" i="8" s="1"/>
  <c r="V111" i="8" s="1"/>
  <c r="V144" i="8" s="1"/>
  <c r="V168" i="8" s="1"/>
  <c r="V192" i="8" s="1"/>
  <c r="V216" i="8" s="1"/>
  <c r="V240" i="8" s="1"/>
  <c r="V264" i="8" s="1"/>
  <c r="V288" i="8" s="1"/>
  <c r="V312" i="8" s="1"/>
  <c r="V336" i="8" s="1"/>
  <c r="E66" i="3" s="1"/>
  <c r="T47" i="8"/>
  <c r="T79" i="8" s="1"/>
  <c r="T111" i="8" s="1"/>
  <c r="T144" i="8" s="1"/>
  <c r="T168" i="8" s="1"/>
  <c r="T192" i="8" s="1"/>
  <c r="T216" i="8" s="1"/>
  <c r="T240" i="8" s="1"/>
  <c r="T264" i="8" s="1"/>
  <c r="T288" i="8" s="1"/>
  <c r="T312" i="8" s="1"/>
  <c r="T336" i="8" s="1"/>
  <c r="E64" i="3" s="1"/>
  <c r="E17" i="12"/>
  <c r="E28" i="12" s="1"/>
  <c r="F17" i="12"/>
  <c r="F28" i="12" s="1"/>
  <c r="F42" i="12" s="1"/>
  <c r="G17" i="12"/>
  <c r="G28" i="12" s="1"/>
  <c r="G42" i="12" s="1"/>
  <c r="L4" i="12"/>
  <c r="K17" i="12"/>
  <c r="K28" i="12" s="1"/>
  <c r="K42" i="12" s="1"/>
  <c r="J4" i="13"/>
  <c r="H31" i="4"/>
  <c r="H40" i="4" s="1"/>
  <c r="H49" i="4" s="1"/>
  <c r="H58" i="4" s="1"/>
  <c r="H67" i="4" s="1"/>
  <c r="H76" i="4" s="1"/>
  <c r="H85" i="4" s="1"/>
  <c r="H94" i="4" s="1"/>
  <c r="H103" i="4" s="1"/>
  <c r="H112" i="4" s="1"/>
  <c r="I31" i="4"/>
  <c r="I40" i="4" s="1"/>
  <c r="I49" i="4" s="1"/>
  <c r="I58" i="4" s="1"/>
  <c r="I67" i="4" s="1"/>
  <c r="I76" i="4" s="1"/>
  <c r="I85" i="4" s="1"/>
  <c r="I94" i="4" s="1"/>
  <c r="I103" i="4" s="1"/>
  <c r="I112" i="4" s="1"/>
  <c r="J31" i="4"/>
  <c r="J40" i="4" s="1"/>
  <c r="J49" i="4" s="1"/>
  <c r="J58" i="4" s="1"/>
  <c r="J67" i="4" s="1"/>
  <c r="J76" i="4" s="1"/>
  <c r="J85" i="4" s="1"/>
  <c r="J94" i="4" s="1"/>
  <c r="J103" i="4" s="1"/>
  <c r="J112" i="4" s="1"/>
  <c r="G31" i="4"/>
  <c r="G40" i="4" s="1"/>
  <c r="G49" i="4" s="1"/>
  <c r="G58" i="4" s="1"/>
  <c r="G67" i="4" s="1"/>
  <c r="G76" i="4" s="1"/>
  <c r="G85" i="4" s="1"/>
  <c r="G94" i="4" s="1"/>
  <c r="G103" i="4" s="1"/>
  <c r="G112" i="4" s="1"/>
  <c r="L30" i="4"/>
  <c r="J31" i="13"/>
  <c r="E41" i="13"/>
  <c r="J20" i="13"/>
  <c r="F30" i="13"/>
  <c r="J21" i="13"/>
  <c r="E41" i="12"/>
  <c r="L27" i="12"/>
  <c r="Q4" i="12"/>
  <c r="F16" i="12"/>
  <c r="F27" i="12" s="1"/>
  <c r="F41" i="12" s="1"/>
  <c r="G16" i="12"/>
  <c r="G27" i="12" s="1"/>
  <c r="G41" i="12" s="1"/>
  <c r="O13" i="11"/>
  <c r="E22" i="11"/>
  <c r="G13" i="11"/>
  <c r="G22" i="11" s="1"/>
  <c r="G33" i="11" s="1"/>
  <c r="G42" i="11" s="1"/>
  <c r="G51" i="11" s="1"/>
  <c r="G60" i="11" s="1"/>
  <c r="G69" i="11" s="1"/>
  <c r="G80" i="11" s="1"/>
  <c r="G89" i="11" s="1"/>
  <c r="G101" i="11" s="1"/>
  <c r="G113" i="11" s="1"/>
  <c r="G125" i="11" s="1"/>
  <c r="I14" i="11"/>
  <c r="I23" i="11" s="1"/>
  <c r="I34" i="11" s="1"/>
  <c r="I43" i="11" s="1"/>
  <c r="I52" i="11" s="1"/>
  <c r="I61" i="11" s="1"/>
  <c r="I70" i="11" s="1"/>
  <c r="I81" i="11" s="1"/>
  <c r="I90" i="11" s="1"/>
  <c r="I102" i="11" s="1"/>
  <c r="I114" i="11" s="1"/>
  <c r="I126" i="11" s="1"/>
  <c r="L14" i="11"/>
  <c r="L23" i="11" s="1"/>
  <c r="L34" i="11" s="1"/>
  <c r="L43" i="11" s="1"/>
  <c r="L52" i="11" s="1"/>
  <c r="L61" i="11" s="1"/>
  <c r="L70" i="11" s="1"/>
  <c r="L81" i="11" s="1"/>
  <c r="L90" i="11" s="1"/>
  <c r="L102" i="11" s="1"/>
  <c r="L114" i="11" s="1"/>
  <c r="L126" i="11" s="1"/>
  <c r="E23" i="11"/>
  <c r="M14" i="11"/>
  <c r="M23" i="11" s="1"/>
  <c r="M34" i="11" s="1"/>
  <c r="M43" i="11" s="1"/>
  <c r="M52" i="11" s="1"/>
  <c r="M61" i="11" s="1"/>
  <c r="M70" i="11" s="1"/>
  <c r="M81" i="11" s="1"/>
  <c r="M90" i="11" s="1"/>
  <c r="M102" i="11" s="1"/>
  <c r="M114" i="11" s="1"/>
  <c r="M126" i="11" s="1"/>
  <c r="N14" i="11"/>
  <c r="N23" i="11" s="1"/>
  <c r="N34" i="11" s="1"/>
  <c r="N43" i="11" s="1"/>
  <c r="N52" i="11" s="1"/>
  <c r="N61" i="11" s="1"/>
  <c r="N70" i="11" s="1"/>
  <c r="N81" i="11" s="1"/>
  <c r="N90" i="11" s="1"/>
  <c r="N102" i="11" s="1"/>
  <c r="N114" i="11" s="1"/>
  <c r="N126" i="11" s="1"/>
  <c r="Q4" i="10"/>
  <c r="E33" i="10"/>
  <c r="L19" i="10"/>
  <c r="E49" i="10"/>
  <c r="F18" i="10"/>
  <c r="F32" i="10" s="1"/>
  <c r="F49" i="10" s="1"/>
  <c r="F63" i="10" s="1"/>
  <c r="F77" i="10" s="1"/>
  <c r="F91" i="10" s="1"/>
  <c r="F105" i="10" s="1"/>
  <c r="F119" i="10" s="1"/>
  <c r="F133" i="10" s="1"/>
  <c r="F147" i="10" s="1"/>
  <c r="F161" i="10" s="1"/>
  <c r="F175" i="10" s="1"/>
  <c r="K19" i="10"/>
  <c r="K33" i="10" s="1"/>
  <c r="K50" i="10" s="1"/>
  <c r="K64" i="10" s="1"/>
  <c r="K78" i="10" s="1"/>
  <c r="K92" i="10" s="1"/>
  <c r="K106" i="10" s="1"/>
  <c r="K120" i="10" s="1"/>
  <c r="K134" i="10" s="1"/>
  <c r="K148" i="10" s="1"/>
  <c r="K162" i="10" s="1"/>
  <c r="K176" i="10" s="1"/>
  <c r="E32" i="9"/>
  <c r="N18" i="9"/>
  <c r="E19" i="9"/>
  <c r="N17" i="9"/>
  <c r="H19" i="9"/>
  <c r="H33" i="9" s="1"/>
  <c r="H47" i="9" s="1"/>
  <c r="H61" i="9" s="1"/>
  <c r="H75" i="9" s="1"/>
  <c r="H89" i="9" s="1"/>
  <c r="H103" i="9" s="1"/>
  <c r="H117" i="9" s="1"/>
  <c r="H131" i="9" s="1"/>
  <c r="H145" i="9" s="1"/>
  <c r="H159" i="9" s="1"/>
  <c r="H173" i="9" s="1"/>
  <c r="J19" i="9"/>
  <c r="J33" i="9" s="1"/>
  <c r="J47" i="9" s="1"/>
  <c r="J61" i="9" s="1"/>
  <c r="J75" i="9" s="1"/>
  <c r="J89" i="9" s="1"/>
  <c r="J103" i="9" s="1"/>
  <c r="J117" i="9" s="1"/>
  <c r="J131" i="9" s="1"/>
  <c r="J145" i="9" s="1"/>
  <c r="J159" i="9" s="1"/>
  <c r="J173" i="9" s="1"/>
  <c r="L19" i="9"/>
  <c r="L33" i="9" s="1"/>
  <c r="L47" i="9" s="1"/>
  <c r="L61" i="9" s="1"/>
  <c r="L75" i="9" s="1"/>
  <c r="L89" i="9" s="1"/>
  <c r="L103" i="9" s="1"/>
  <c r="L117" i="9" s="1"/>
  <c r="L131" i="9" s="1"/>
  <c r="L145" i="9" s="1"/>
  <c r="L159" i="9" s="1"/>
  <c r="L173" i="9" s="1"/>
  <c r="AM4" i="8"/>
  <c r="E112" i="8"/>
  <c r="E79" i="8"/>
  <c r="F48" i="8"/>
  <c r="F80" i="8" s="1"/>
  <c r="F112" i="8" s="1"/>
  <c r="F145" i="8" s="1"/>
  <c r="F169" i="8" s="1"/>
  <c r="F193" i="8" s="1"/>
  <c r="F217" i="8" s="1"/>
  <c r="F241" i="8" s="1"/>
  <c r="F265" i="8" s="1"/>
  <c r="F289" i="8" s="1"/>
  <c r="F313" i="8" s="1"/>
  <c r="F337" i="8" s="1"/>
  <c r="N47" i="8"/>
  <c r="N79" i="8" s="1"/>
  <c r="N111" i="8" s="1"/>
  <c r="N144" i="8" s="1"/>
  <c r="N168" i="8" s="1"/>
  <c r="N192" i="8" s="1"/>
  <c r="N216" i="8" s="1"/>
  <c r="N240" i="8" s="1"/>
  <c r="N264" i="8" s="1"/>
  <c r="N288" i="8" s="1"/>
  <c r="N312" i="8" s="1"/>
  <c r="N336" i="8" s="1"/>
  <c r="E54" i="3" s="1"/>
  <c r="Z47" i="8"/>
  <c r="Z79" i="8" s="1"/>
  <c r="Z111" i="8" s="1"/>
  <c r="Z144" i="8" s="1"/>
  <c r="Z168" i="8" s="1"/>
  <c r="Z192" i="8" s="1"/>
  <c r="Z216" i="8" s="1"/>
  <c r="Z240" i="8" s="1"/>
  <c r="Z264" i="8" s="1"/>
  <c r="Z288" i="8" s="1"/>
  <c r="Z312" i="8" s="1"/>
  <c r="Z336" i="8" s="1"/>
  <c r="E70" i="3" s="1"/>
  <c r="O47" i="8"/>
  <c r="O79" i="8" s="1"/>
  <c r="O111" i="8" s="1"/>
  <c r="O144" i="8" s="1"/>
  <c r="O168" i="8" s="1"/>
  <c r="O192" i="8" s="1"/>
  <c r="O216" i="8" s="1"/>
  <c r="O240" i="8" s="1"/>
  <c r="O264" i="8" s="1"/>
  <c r="O288" i="8" s="1"/>
  <c r="O312" i="8" s="1"/>
  <c r="O336" i="8" s="1"/>
  <c r="E56" i="3" s="1"/>
  <c r="AA47" i="8"/>
  <c r="AA79" i="8" s="1"/>
  <c r="AA111" i="8" s="1"/>
  <c r="AA144" i="8" s="1"/>
  <c r="AA168" i="8" s="1"/>
  <c r="AA192" i="8" s="1"/>
  <c r="AA216" i="8" s="1"/>
  <c r="AA240" i="8" s="1"/>
  <c r="AA264" i="8" s="1"/>
  <c r="AA288" i="8" s="1"/>
  <c r="AA312" i="8" s="1"/>
  <c r="AA336" i="8" s="1"/>
  <c r="E72" i="3" s="1"/>
  <c r="AH311" i="8"/>
  <c r="P47" i="8"/>
  <c r="P79" i="8" s="1"/>
  <c r="P111" i="8" s="1"/>
  <c r="P144" i="8" s="1"/>
  <c r="P168" i="8" s="1"/>
  <c r="P192" i="8" s="1"/>
  <c r="P216" i="8" s="1"/>
  <c r="P240" i="8" s="1"/>
  <c r="P264" i="8" s="1"/>
  <c r="P288" i="8" s="1"/>
  <c r="P312" i="8" s="1"/>
  <c r="P336" i="8" s="1"/>
  <c r="E57" i="3" s="1"/>
  <c r="AH215" i="8"/>
  <c r="AH46" i="8"/>
  <c r="AB47" i="8"/>
  <c r="AB79" i="8" s="1"/>
  <c r="AB111" i="8" s="1"/>
  <c r="AB144" i="8" s="1"/>
  <c r="AB168" i="8" s="1"/>
  <c r="AB192" i="8" s="1"/>
  <c r="AB216" i="8" s="1"/>
  <c r="AB240" i="8" s="1"/>
  <c r="AB264" i="8" s="1"/>
  <c r="AB288" i="8" s="1"/>
  <c r="AB312" i="8" s="1"/>
  <c r="AB336" i="8" s="1"/>
  <c r="E71" i="3" s="1"/>
  <c r="R47" i="8"/>
  <c r="R79" i="8" s="1"/>
  <c r="R111" i="8" s="1"/>
  <c r="R144" i="8" s="1"/>
  <c r="R168" i="8" s="1"/>
  <c r="R192" i="8" s="1"/>
  <c r="R216" i="8" s="1"/>
  <c r="R240" i="8" s="1"/>
  <c r="R264" i="8" s="1"/>
  <c r="R288" i="8" s="1"/>
  <c r="R312" i="8" s="1"/>
  <c r="R336" i="8" s="1"/>
  <c r="AD47" i="8"/>
  <c r="AD79" i="8" s="1"/>
  <c r="AD111" i="8" s="1"/>
  <c r="AD144" i="8" s="1"/>
  <c r="AD168" i="8" s="1"/>
  <c r="AD192" i="8" s="1"/>
  <c r="AD216" i="8" s="1"/>
  <c r="AD240" i="8" s="1"/>
  <c r="AD264" i="8" s="1"/>
  <c r="AD288" i="8" s="1"/>
  <c r="AD312" i="8" s="1"/>
  <c r="AD336" i="8" s="1"/>
  <c r="G47" i="8"/>
  <c r="G79" i="8" s="1"/>
  <c r="G111" i="8" s="1"/>
  <c r="G144" i="8" s="1"/>
  <c r="G168" i="8" s="1"/>
  <c r="G192" i="8" s="1"/>
  <c r="G216" i="8" s="1"/>
  <c r="G240" i="8" s="1"/>
  <c r="G264" i="8" s="1"/>
  <c r="G288" i="8" s="1"/>
  <c r="G312" i="8" s="1"/>
  <c r="G336" i="8" s="1"/>
  <c r="S47" i="8"/>
  <c r="S79" i="8" s="1"/>
  <c r="S111" i="8" s="1"/>
  <c r="S144" i="8" s="1"/>
  <c r="S168" i="8" s="1"/>
  <c r="S192" i="8" s="1"/>
  <c r="S216" i="8" s="1"/>
  <c r="S240" i="8" s="1"/>
  <c r="S264" i="8" s="1"/>
  <c r="S288" i="8" s="1"/>
  <c r="S312" i="8" s="1"/>
  <c r="S336" i="8" s="1"/>
  <c r="AE47" i="8"/>
  <c r="AE79" i="8" s="1"/>
  <c r="AE111" i="8" s="1"/>
  <c r="AE144" i="8" s="1"/>
  <c r="AE168" i="8" s="1"/>
  <c r="AE192" i="8" s="1"/>
  <c r="AE216" i="8" s="1"/>
  <c r="AE240" i="8" s="1"/>
  <c r="AE264" i="8" s="1"/>
  <c r="AE288" i="8" s="1"/>
  <c r="AE312" i="8" s="1"/>
  <c r="AE336" i="8" s="1"/>
  <c r="E73" i="3" s="1"/>
  <c r="AH287" i="8"/>
  <c r="AH335" i="8"/>
  <c r="N3" i="7"/>
  <c r="I20" i="7"/>
  <c r="E35" i="7"/>
  <c r="I18" i="7"/>
  <c r="E19" i="7"/>
  <c r="F19" i="7"/>
  <c r="F34" i="7" s="1"/>
  <c r="F49" i="7" s="1"/>
  <c r="F70" i="7" s="1"/>
  <c r="F85" i="7" s="1"/>
  <c r="F100" i="7" s="1"/>
  <c r="F115" i="7" s="1"/>
  <c r="F130" i="7" s="1"/>
  <c r="F145" i="7" s="1"/>
  <c r="F160" i="7" s="1"/>
  <c r="F175" i="7" s="1"/>
  <c r="F190" i="7" s="1"/>
  <c r="G20" i="6"/>
  <c r="G28" i="6" s="1"/>
  <c r="G36" i="6" s="1"/>
  <c r="G44" i="6" s="1"/>
  <c r="G52" i="6" s="1"/>
  <c r="G60" i="6" s="1"/>
  <c r="G68" i="6" s="1"/>
  <c r="G76" i="6" s="1"/>
  <c r="G84" i="6" s="1"/>
  <c r="G92" i="6" s="1"/>
  <c r="G100" i="6" s="1"/>
  <c r="I12" i="6"/>
  <c r="E28" i="6"/>
  <c r="I20" i="6"/>
  <c r="E13" i="6"/>
  <c r="H13" i="6"/>
  <c r="H21" i="6" s="1"/>
  <c r="H29" i="6" s="1"/>
  <c r="H37" i="6" s="1"/>
  <c r="H45" i="6" s="1"/>
  <c r="H53" i="6" s="1"/>
  <c r="H61" i="6" s="1"/>
  <c r="H69" i="6" s="1"/>
  <c r="H77" i="6" s="1"/>
  <c r="H85" i="6" s="1"/>
  <c r="H93" i="6" s="1"/>
  <c r="H101" i="6" s="1"/>
  <c r="E20" i="5"/>
  <c r="E21" i="5"/>
  <c r="E23" i="4"/>
  <c r="E31" i="4"/>
  <c r="L13" i="4"/>
  <c r="F22" i="4"/>
  <c r="F31" i="4" s="1"/>
  <c r="F40" i="4" s="1"/>
  <c r="F49" i="4" s="1"/>
  <c r="F58" i="4" s="1"/>
  <c r="F67" i="4" s="1"/>
  <c r="F76" i="4" s="1"/>
  <c r="F85" i="4" s="1"/>
  <c r="F94" i="4" s="1"/>
  <c r="F103" i="4" s="1"/>
  <c r="F112" i="4" s="1"/>
  <c r="G14" i="4"/>
  <c r="G23" i="4" s="1"/>
  <c r="G32" i="4" s="1"/>
  <c r="G41" i="4" s="1"/>
  <c r="G50" i="4" s="1"/>
  <c r="G59" i="4" s="1"/>
  <c r="G68" i="4" s="1"/>
  <c r="G77" i="4" s="1"/>
  <c r="G86" i="4" s="1"/>
  <c r="G95" i="4" s="1"/>
  <c r="G104" i="4" s="1"/>
  <c r="G113" i="4" s="1"/>
  <c r="L12" i="4"/>
  <c r="J14" i="4"/>
  <c r="J23" i="4" s="1"/>
  <c r="J32" i="4" s="1"/>
  <c r="J41" i="4" s="1"/>
  <c r="J50" i="4" s="1"/>
  <c r="J59" i="4" s="1"/>
  <c r="J68" i="4" s="1"/>
  <c r="J77" i="4" s="1"/>
  <c r="J86" i="4" s="1"/>
  <c r="J95" i="4" s="1"/>
  <c r="J104" i="4" s="1"/>
  <c r="J113" i="4" s="1"/>
  <c r="H14" i="4"/>
  <c r="H23" i="4" s="1"/>
  <c r="H32" i="4" s="1"/>
  <c r="H41" i="4" s="1"/>
  <c r="H50" i="4" s="1"/>
  <c r="H59" i="4" s="1"/>
  <c r="H68" i="4" s="1"/>
  <c r="H77" i="4" s="1"/>
  <c r="H86" i="4" s="1"/>
  <c r="H95" i="4" s="1"/>
  <c r="H104" i="4" s="1"/>
  <c r="H113" i="4" s="1"/>
  <c r="E50" i="3" l="1"/>
  <c r="J50" i="3" s="1"/>
  <c r="AH48" i="8"/>
  <c r="AH80" i="8"/>
  <c r="L41" i="12"/>
  <c r="E51" i="3"/>
  <c r="E75" i="3"/>
  <c r="E76" i="3"/>
  <c r="J71" i="3"/>
  <c r="F71" i="3"/>
  <c r="L17" i="12"/>
  <c r="F40" i="13"/>
  <c r="J30" i="13"/>
  <c r="E51" i="13"/>
  <c r="J41" i="13"/>
  <c r="E42" i="12"/>
  <c r="L42" i="12" s="1"/>
  <c r="L28" i="12"/>
  <c r="L16" i="12"/>
  <c r="E34" i="11"/>
  <c r="O23" i="11"/>
  <c r="O14" i="11"/>
  <c r="O22" i="11"/>
  <c r="E33" i="11"/>
  <c r="E63" i="10"/>
  <c r="L49" i="10"/>
  <c r="L32" i="10"/>
  <c r="E50" i="10"/>
  <c r="L33" i="10"/>
  <c r="L18" i="10"/>
  <c r="N32" i="9"/>
  <c r="S32" i="9" s="1"/>
  <c r="E46" i="9"/>
  <c r="N19" i="9"/>
  <c r="E33" i="9"/>
  <c r="E111" i="8"/>
  <c r="AH79" i="8"/>
  <c r="E145" i="8"/>
  <c r="AH112" i="8"/>
  <c r="AH47" i="8"/>
  <c r="I19" i="7"/>
  <c r="E34" i="7"/>
  <c r="I35" i="7"/>
  <c r="E50" i="7"/>
  <c r="E21" i="6"/>
  <c r="I13" i="6"/>
  <c r="E36" i="6"/>
  <c r="I28" i="6"/>
  <c r="F21" i="5"/>
  <c r="E29" i="5"/>
  <c r="F20" i="5"/>
  <c r="E28" i="5"/>
  <c r="L22" i="4"/>
  <c r="E40" i="4"/>
  <c r="L31" i="4"/>
  <c r="L23" i="4"/>
  <c r="E32" i="4"/>
  <c r="L14" i="4"/>
  <c r="J40" i="13" l="1"/>
  <c r="F50" i="13"/>
  <c r="J51" i="13"/>
  <c r="E61" i="13"/>
  <c r="O33" i="11"/>
  <c r="E42" i="11"/>
  <c r="O34" i="11"/>
  <c r="E43" i="11"/>
  <c r="L63" i="10"/>
  <c r="E77" i="10"/>
  <c r="L50" i="10"/>
  <c r="E64" i="10"/>
  <c r="N46" i="9"/>
  <c r="E60" i="9"/>
  <c r="N33" i="9"/>
  <c r="S33" i="9" s="1"/>
  <c r="E47" i="9"/>
  <c r="AH145" i="8"/>
  <c r="E169" i="8"/>
  <c r="AH111" i="8"/>
  <c r="E144" i="8"/>
  <c r="I34" i="7"/>
  <c r="E49" i="7"/>
  <c r="I50" i="7"/>
  <c r="E71" i="7"/>
  <c r="I36" i="6"/>
  <c r="E44" i="6"/>
  <c r="E29" i="6"/>
  <c r="I21" i="6"/>
  <c r="F29" i="5"/>
  <c r="E37" i="5"/>
  <c r="F28" i="5"/>
  <c r="E36" i="5"/>
  <c r="L40" i="4"/>
  <c r="E49" i="4"/>
  <c r="L32" i="4"/>
  <c r="E41" i="4"/>
  <c r="F60" i="13" l="1"/>
  <c r="J50" i="13"/>
  <c r="E71" i="13"/>
  <c r="J61" i="13"/>
  <c r="O43" i="11"/>
  <c r="E52" i="11"/>
  <c r="O42" i="11"/>
  <c r="E51" i="11"/>
  <c r="E91" i="10"/>
  <c r="L77" i="10"/>
  <c r="E78" i="10"/>
  <c r="L64" i="10"/>
  <c r="N60" i="9"/>
  <c r="S60" i="9" s="1"/>
  <c r="E74" i="9"/>
  <c r="N47" i="9"/>
  <c r="S47" i="9" s="1"/>
  <c r="E61" i="9"/>
  <c r="E168" i="8"/>
  <c r="AH144" i="8"/>
  <c r="E193" i="8"/>
  <c r="AH169" i="8"/>
  <c r="I49" i="7"/>
  <c r="E70" i="7"/>
  <c r="I71" i="7"/>
  <c r="E86" i="7"/>
  <c r="E37" i="6"/>
  <c r="I29" i="6"/>
  <c r="E52" i="6"/>
  <c r="I44" i="6"/>
  <c r="F37" i="5"/>
  <c r="E45" i="5"/>
  <c r="E44" i="5"/>
  <c r="F36" i="5"/>
  <c r="L41" i="4"/>
  <c r="E50" i="4"/>
  <c r="E58" i="4"/>
  <c r="L49" i="4"/>
  <c r="B32" i="1"/>
  <c r="B35" i="1"/>
  <c r="B37" i="1"/>
  <c r="J71" i="13" l="1"/>
  <c r="E81" i="13"/>
  <c r="J60" i="13"/>
  <c r="F70" i="13"/>
  <c r="E60" i="11"/>
  <c r="O51" i="11"/>
  <c r="O52" i="11"/>
  <c r="E61" i="11"/>
  <c r="E92" i="10"/>
  <c r="L78" i="10"/>
  <c r="E105" i="10"/>
  <c r="L91" i="10"/>
  <c r="E88" i="9"/>
  <c r="N74" i="9"/>
  <c r="S74" i="9" s="1"/>
  <c r="N61" i="9"/>
  <c r="S61" i="9" s="1"/>
  <c r="E75" i="9"/>
  <c r="E217" i="8"/>
  <c r="AH193" i="8"/>
  <c r="E192" i="8"/>
  <c r="AH168" i="8"/>
  <c r="E85" i="7"/>
  <c r="I70" i="7"/>
  <c r="I86" i="7"/>
  <c r="E101" i="7"/>
  <c r="E60" i="6"/>
  <c r="I52" i="6"/>
  <c r="E45" i="6"/>
  <c r="I37" i="6"/>
  <c r="F44" i="5"/>
  <c r="E52" i="5"/>
  <c r="E53" i="5"/>
  <c r="F45" i="5"/>
  <c r="L58" i="4"/>
  <c r="E67" i="4"/>
  <c r="L50" i="4"/>
  <c r="E59" i="4"/>
  <c r="B31" i="1"/>
  <c r="F80" i="13" l="1"/>
  <c r="J70" i="13"/>
  <c r="E91" i="13"/>
  <c r="J81" i="13"/>
  <c r="O61" i="11"/>
  <c r="E70" i="11"/>
  <c r="O60" i="11"/>
  <c r="E69" i="11"/>
  <c r="L105" i="10"/>
  <c r="E119" i="10"/>
  <c r="L92" i="10"/>
  <c r="E106" i="10"/>
  <c r="N75" i="9"/>
  <c r="S75" i="9" s="1"/>
  <c r="E89" i="9"/>
  <c r="N88" i="9"/>
  <c r="S88" i="9" s="1"/>
  <c r="E102" i="9"/>
  <c r="E216" i="8"/>
  <c r="AH192" i="8"/>
  <c r="E241" i="8"/>
  <c r="AH217" i="8"/>
  <c r="I85" i="7"/>
  <c r="E100" i="7"/>
  <c r="I101" i="7"/>
  <c r="E116" i="7"/>
  <c r="I45" i="6"/>
  <c r="E53" i="6"/>
  <c r="E68" i="6"/>
  <c r="I60" i="6"/>
  <c r="F53" i="5"/>
  <c r="E61" i="5"/>
  <c r="F52" i="5"/>
  <c r="E60" i="5"/>
  <c r="L59" i="4"/>
  <c r="E68" i="4"/>
  <c r="L67" i="4"/>
  <c r="E76" i="4"/>
  <c r="J91" i="13" l="1"/>
  <c r="E101" i="13"/>
  <c r="J80" i="13"/>
  <c r="F90" i="13"/>
  <c r="E80" i="11"/>
  <c r="O69" i="11"/>
  <c r="E81" i="11"/>
  <c r="O70" i="11"/>
  <c r="E120" i="10"/>
  <c r="L106" i="10"/>
  <c r="E133" i="10"/>
  <c r="L119" i="10"/>
  <c r="N89" i="9"/>
  <c r="S89" i="9" s="1"/>
  <c r="E103" i="9"/>
  <c r="E116" i="9"/>
  <c r="N102" i="9"/>
  <c r="E240" i="8"/>
  <c r="AH216" i="8"/>
  <c r="E265" i="8"/>
  <c r="AH241" i="8"/>
  <c r="I100" i="7"/>
  <c r="E115" i="7"/>
  <c r="E131" i="7"/>
  <c r="I116" i="7"/>
  <c r="E76" i="6"/>
  <c r="I68" i="6"/>
  <c r="E61" i="6"/>
  <c r="I53" i="6"/>
  <c r="F60" i="5"/>
  <c r="E68" i="5"/>
  <c r="F61" i="5"/>
  <c r="E69" i="5"/>
  <c r="L76" i="4"/>
  <c r="E85" i="4"/>
  <c r="L68" i="4"/>
  <c r="E77" i="4"/>
  <c r="G20" i="25"/>
  <c r="G31" i="25"/>
  <c r="I47" i="14"/>
  <c r="H15" i="14"/>
  <c r="F100" i="13" l="1"/>
  <c r="J90" i="13"/>
  <c r="E111" i="13"/>
  <c r="J101" i="13"/>
  <c r="O80" i="11"/>
  <c r="E89" i="11"/>
  <c r="O81" i="11"/>
  <c r="E90" i="11"/>
  <c r="E134" i="10"/>
  <c r="L120" i="10"/>
  <c r="E147" i="10"/>
  <c r="L133" i="10"/>
  <c r="N103" i="9"/>
  <c r="E117" i="9"/>
  <c r="N116" i="9"/>
  <c r="S116" i="9" s="1"/>
  <c r="E130" i="9"/>
  <c r="E264" i="8"/>
  <c r="AH240" i="8"/>
  <c r="E289" i="8"/>
  <c r="AH265" i="8"/>
  <c r="I131" i="7"/>
  <c r="E146" i="7"/>
  <c r="I115" i="7"/>
  <c r="E130" i="7"/>
  <c r="E69" i="6"/>
  <c r="I61" i="6"/>
  <c r="I76" i="6"/>
  <c r="E84" i="6"/>
  <c r="F68" i="5"/>
  <c r="E76" i="5"/>
  <c r="F69" i="5"/>
  <c r="E77" i="5"/>
  <c r="L85" i="4"/>
  <c r="E94" i="4"/>
  <c r="L77" i="4"/>
  <c r="E86" i="4"/>
  <c r="H10" i="24"/>
  <c r="M55" i="19"/>
  <c r="J70" i="14"/>
  <c r="J111" i="13" l="1"/>
  <c r="E121" i="13"/>
  <c r="J100" i="13"/>
  <c r="F110" i="13"/>
  <c r="O89" i="11"/>
  <c r="E101" i="11"/>
  <c r="E102" i="11"/>
  <c r="O90" i="11"/>
  <c r="L147" i="10"/>
  <c r="E161" i="10"/>
  <c r="L134" i="10"/>
  <c r="E148" i="10"/>
  <c r="E144" i="9"/>
  <c r="N130" i="9"/>
  <c r="S130" i="9" s="1"/>
  <c r="N117" i="9"/>
  <c r="S117" i="9" s="1"/>
  <c r="E131" i="9"/>
  <c r="E288" i="8"/>
  <c r="AH264" i="8"/>
  <c r="E313" i="8"/>
  <c r="AH289" i="8"/>
  <c r="I146" i="7"/>
  <c r="E161" i="7"/>
  <c r="E145" i="7"/>
  <c r="I130" i="7"/>
  <c r="E92" i="6"/>
  <c r="I84" i="6"/>
  <c r="E77" i="6"/>
  <c r="I69" i="6"/>
  <c r="F77" i="5"/>
  <c r="E85" i="5"/>
  <c r="F76" i="5"/>
  <c r="E84" i="5"/>
  <c r="E103" i="4"/>
  <c r="L94" i="4"/>
  <c r="L86" i="4"/>
  <c r="E95" i="4"/>
  <c r="F70" i="14"/>
  <c r="E131" i="13" l="1"/>
  <c r="J131" i="13" s="1"/>
  <c r="J121" i="13"/>
  <c r="F120" i="13"/>
  <c r="J110" i="13"/>
  <c r="O101" i="11"/>
  <c r="E113" i="11"/>
  <c r="O102" i="11"/>
  <c r="E114" i="11"/>
  <c r="E162" i="10"/>
  <c r="L148" i="10"/>
  <c r="E175" i="10"/>
  <c r="L161" i="10"/>
  <c r="N131" i="9"/>
  <c r="S131" i="9" s="1"/>
  <c r="E145" i="9"/>
  <c r="N144" i="9"/>
  <c r="S144" i="9" s="1"/>
  <c r="E158" i="9"/>
  <c r="E312" i="8"/>
  <c r="AH288" i="8"/>
  <c r="E337" i="8"/>
  <c r="AH337" i="8" s="1"/>
  <c r="AH313" i="8"/>
  <c r="I145" i="7"/>
  <c r="E160" i="7"/>
  <c r="I161" i="7"/>
  <c r="E176" i="7"/>
  <c r="E85" i="6"/>
  <c r="I77" i="6"/>
  <c r="I92" i="6"/>
  <c r="E100" i="6"/>
  <c r="I100" i="6" s="1"/>
  <c r="F85" i="5"/>
  <c r="E93" i="5"/>
  <c r="E92" i="5"/>
  <c r="F84" i="5"/>
  <c r="L103" i="4"/>
  <c r="E112" i="4"/>
  <c r="L112" i="4" s="1"/>
  <c r="L95" i="4"/>
  <c r="E104" i="4"/>
  <c r="D50" i="20"/>
  <c r="D51" i="20"/>
  <c r="K39" i="20"/>
  <c r="G17" i="24"/>
  <c r="G45" i="18"/>
  <c r="G46" i="18"/>
  <c r="E48" i="18"/>
  <c r="E49" i="18" s="1"/>
  <c r="I39" i="24"/>
  <c r="I38" i="24"/>
  <c r="I37" i="24"/>
  <c r="I36" i="24"/>
  <c r="I35" i="24"/>
  <c r="I34" i="24"/>
  <c r="I33" i="24"/>
  <c r="L175" i="10" l="1"/>
  <c r="E78" i="3"/>
  <c r="J120" i="13"/>
  <c r="F130" i="13"/>
  <c r="J130" i="13" s="1"/>
  <c r="O113" i="11"/>
  <c r="E125" i="11"/>
  <c r="O125" i="11" s="1"/>
  <c r="O114" i="11"/>
  <c r="E126" i="11"/>
  <c r="O126" i="11" s="1"/>
  <c r="E176" i="10"/>
  <c r="L176" i="10" s="1"/>
  <c r="L162" i="10"/>
  <c r="E172" i="9"/>
  <c r="N172" i="9" s="1"/>
  <c r="S172" i="9" s="1"/>
  <c r="N158" i="9"/>
  <c r="S158" i="9" s="1"/>
  <c r="N145" i="9"/>
  <c r="S145" i="9" s="1"/>
  <c r="E159" i="9"/>
  <c r="AH312" i="8"/>
  <c r="E336" i="8"/>
  <c r="I176" i="7"/>
  <c r="E191" i="7"/>
  <c r="I191" i="7" s="1"/>
  <c r="I160" i="7"/>
  <c r="E175" i="7"/>
  <c r="I85" i="6"/>
  <c r="E93" i="6"/>
  <c r="F92" i="5"/>
  <c r="E100" i="5"/>
  <c r="F100" i="5" s="1"/>
  <c r="E101" i="5"/>
  <c r="F101" i="5" s="1"/>
  <c r="F93" i="5"/>
  <c r="L104" i="4"/>
  <c r="E113" i="4"/>
  <c r="L113" i="4" s="1"/>
  <c r="J11" i="19"/>
  <c r="AE11" i="19"/>
  <c r="I24" i="21"/>
  <c r="I23" i="21"/>
  <c r="I22" i="21"/>
  <c r="I21" i="21"/>
  <c r="AE24" i="19"/>
  <c r="I27" i="24"/>
  <c r="I26" i="24"/>
  <c r="I25" i="24"/>
  <c r="I24" i="24"/>
  <c r="I23" i="24"/>
  <c r="I22" i="24"/>
  <c r="I21" i="24"/>
  <c r="I20" i="24"/>
  <c r="I19" i="24"/>
  <c r="I18" i="24"/>
  <c r="I17" i="24"/>
  <c r="I10" i="24"/>
  <c r="I9" i="24"/>
  <c r="I8" i="24"/>
  <c r="AH336" i="8" l="1"/>
  <c r="E48" i="3"/>
  <c r="E173" i="9"/>
  <c r="N173" i="9" s="1"/>
  <c r="S173" i="9" s="1"/>
  <c r="S4" i="9" s="1"/>
  <c r="N159" i="9"/>
  <c r="S159" i="9" s="1"/>
  <c r="I175" i="7"/>
  <c r="E190" i="7"/>
  <c r="I190" i="7" s="1"/>
  <c r="E101" i="6"/>
  <c r="I101" i="6" s="1"/>
  <c r="I93" i="6"/>
  <c r="G8" i="18"/>
  <c r="B18" i="17" l="1"/>
  <c r="H77" i="14"/>
  <c r="B16" i="15" l="1"/>
  <c r="A2" i="2" l="1"/>
  <c r="I8" i="21" l="1"/>
  <c r="G7" i="18"/>
  <c r="AE14" i="19" l="1"/>
  <c r="AE13" i="19"/>
  <c r="G128" i="14"/>
  <c r="G120" i="14"/>
  <c r="G119" i="14" s="1"/>
  <c r="G118" i="14" s="1"/>
  <c r="G116" i="14"/>
  <c r="F115" i="14"/>
  <c r="F114" i="14" s="1"/>
  <c r="G114" i="14"/>
  <c r="F113" i="14"/>
  <c r="F112" i="14" s="1"/>
  <c r="G112" i="14"/>
  <c r="F111" i="14"/>
  <c r="F110" i="14" s="1"/>
  <c r="G110" i="14"/>
  <c r="F109" i="14"/>
  <c r="F108" i="14" s="1"/>
  <c r="G108" i="14"/>
  <c r="F107" i="14"/>
  <c r="G104" i="14"/>
  <c r="F103" i="14"/>
  <c r="F102" i="14"/>
  <c r="G101" i="14"/>
  <c r="G100" i="14" s="1"/>
  <c r="G99" i="14" s="1"/>
  <c r="G98" i="14" s="1"/>
  <c r="F101" i="14"/>
  <c r="G92" i="14"/>
  <c r="F91" i="14"/>
  <c r="F90" i="14"/>
  <c r="G86" i="14"/>
  <c r="F80" i="14"/>
  <c r="G77" i="14"/>
  <c r="G63" i="14"/>
  <c r="G46" i="14" s="1"/>
  <c r="F62" i="14"/>
  <c r="F61" i="14"/>
  <c r="F60" i="14"/>
  <c r="F59" i="14"/>
  <c r="F58" i="14"/>
  <c r="F55" i="14"/>
  <c r="G51" i="14"/>
  <c r="G47" i="14"/>
  <c r="F44" i="14"/>
  <c r="F43" i="14"/>
  <c r="G39" i="14"/>
  <c r="C133" i="14"/>
  <c r="C132" i="14"/>
  <c r="C131" i="14"/>
  <c r="C130" i="14"/>
  <c r="C129" i="14"/>
  <c r="D128" i="14"/>
  <c r="B128" i="14"/>
  <c r="C127" i="14"/>
  <c r="C126" i="14"/>
  <c r="C125" i="14"/>
  <c r="C124" i="14"/>
  <c r="C123" i="14"/>
  <c r="C122" i="14"/>
  <c r="C121" i="14"/>
  <c r="D120" i="14"/>
  <c r="D119" i="14" s="1"/>
  <c r="D118" i="14" s="1"/>
  <c r="B120" i="14"/>
  <c r="B119" i="14" s="1"/>
  <c r="B118" i="14" s="1"/>
  <c r="C117" i="14"/>
  <c r="D116" i="14"/>
  <c r="C116" i="14"/>
  <c r="B116" i="14"/>
  <c r="C115" i="14"/>
  <c r="C114" i="14" s="1"/>
  <c r="D114" i="14"/>
  <c r="B114" i="14"/>
  <c r="C113" i="14"/>
  <c r="C112" i="14" s="1"/>
  <c r="D112" i="14"/>
  <c r="C111" i="14"/>
  <c r="C110" i="14" s="1"/>
  <c r="D110" i="14"/>
  <c r="C109" i="14"/>
  <c r="C108" i="14" s="1"/>
  <c r="D108" i="14"/>
  <c r="C107" i="14"/>
  <c r="C106" i="14"/>
  <c r="C105" i="14"/>
  <c r="C104" i="14" s="1"/>
  <c r="D104" i="14"/>
  <c r="B104" i="14"/>
  <c r="C103" i="14"/>
  <c r="C102" i="14"/>
  <c r="C101" i="14" s="1"/>
  <c r="C100" i="14" s="1"/>
  <c r="C99" i="14" s="1"/>
  <c r="C98" i="14" s="1"/>
  <c r="D101" i="14"/>
  <c r="D100" i="14" s="1"/>
  <c r="D99" i="14" s="1"/>
  <c r="D98" i="14" s="1"/>
  <c r="B101" i="14"/>
  <c r="B100" i="14" s="1"/>
  <c r="B99" i="14" s="1"/>
  <c r="B98" i="14" s="1"/>
  <c r="C97" i="14"/>
  <c r="D96" i="14"/>
  <c r="C96" i="14" s="1"/>
  <c r="B96" i="14"/>
  <c r="D95" i="14"/>
  <c r="C95" i="14" s="1"/>
  <c r="C92" i="14" s="1"/>
  <c r="B95" i="14"/>
  <c r="C94" i="14"/>
  <c r="C93" i="14"/>
  <c r="B92" i="14"/>
  <c r="C90" i="14"/>
  <c r="B89" i="14"/>
  <c r="B87" i="14"/>
  <c r="C85" i="14"/>
  <c r="B85" i="14"/>
  <c r="C84" i="14"/>
  <c r="B84" i="14"/>
  <c r="C83" i="14"/>
  <c r="B83" i="14"/>
  <c r="C82" i="14"/>
  <c r="C81" i="14"/>
  <c r="C80" i="14"/>
  <c r="C79" i="14"/>
  <c r="B79" i="14"/>
  <c r="B77" i="14" s="1"/>
  <c r="C78" i="14"/>
  <c r="D77" i="14"/>
  <c r="C76" i="14"/>
  <c r="C75" i="14"/>
  <c r="C74" i="14"/>
  <c r="C73" i="14"/>
  <c r="B63" i="14"/>
  <c r="B46" i="14" s="1"/>
  <c r="D63" i="14"/>
  <c r="C62" i="14"/>
  <c r="C61" i="14"/>
  <c r="C60" i="14"/>
  <c r="C59" i="14"/>
  <c r="C58" i="14"/>
  <c r="C57" i="14"/>
  <c r="B57" i="14"/>
  <c r="C56" i="14"/>
  <c r="C55" i="14"/>
  <c r="C54" i="14"/>
  <c r="C53" i="14"/>
  <c r="B53" i="14"/>
  <c r="C52" i="14"/>
  <c r="B52" i="14"/>
  <c r="B51" i="14" s="1"/>
  <c r="D51" i="14"/>
  <c r="C50" i="14"/>
  <c r="C49" i="14"/>
  <c r="C48" i="14"/>
  <c r="C47" i="14" s="1"/>
  <c r="B48" i="14"/>
  <c r="B47" i="14" s="1"/>
  <c r="D47" i="14"/>
  <c r="C45" i="14"/>
  <c r="C44" i="14"/>
  <c r="C43" i="14"/>
  <c r="C42" i="14"/>
  <c r="C41" i="14"/>
  <c r="C40" i="14"/>
  <c r="D39" i="14"/>
  <c r="B39" i="14"/>
  <c r="J103" i="14"/>
  <c r="I103" i="14"/>
  <c r="J102" i="14"/>
  <c r="I102" i="14"/>
  <c r="I76" i="14"/>
  <c r="I32" i="14"/>
  <c r="I31" i="14"/>
  <c r="I16" i="14"/>
  <c r="I12" i="14" s="1"/>
  <c r="G25" i="14"/>
  <c r="G24" i="14" s="1"/>
  <c r="G16" i="14"/>
  <c r="G12" i="14" s="1"/>
  <c r="G11" i="14" s="1"/>
  <c r="G10" i="14" s="1"/>
  <c r="F29" i="14"/>
  <c r="F27" i="14"/>
  <c r="F27" i="3"/>
  <c r="F29" i="3"/>
  <c r="D25" i="14"/>
  <c r="D24" i="14"/>
  <c r="D16" i="14"/>
  <c r="D12" i="14"/>
  <c r="D11" i="14" s="1"/>
  <c r="C32" i="14"/>
  <c r="C31" i="14"/>
  <c r="C29" i="14"/>
  <c r="C28" i="14"/>
  <c r="C27" i="14"/>
  <c r="B25" i="14"/>
  <c r="B24" i="14" s="1"/>
  <c r="B9" i="14" s="1"/>
  <c r="C16" i="14"/>
  <c r="C12" i="14" s="1"/>
  <c r="C11" i="14" s="1"/>
  <c r="C10" i="14" s="1"/>
  <c r="B16" i="14"/>
  <c r="I11" i="14" l="1"/>
  <c r="I10" i="14" s="1"/>
  <c r="D46" i="14"/>
  <c r="C39" i="14"/>
  <c r="B86" i="14"/>
  <c r="G38" i="14"/>
  <c r="G37" i="14" s="1"/>
  <c r="G33" i="14" s="1"/>
  <c r="C128" i="14"/>
  <c r="C51" i="14"/>
  <c r="C77" i="14"/>
  <c r="C120" i="14"/>
  <c r="C119" i="14" s="1"/>
  <c r="C118" i="14" s="1"/>
  <c r="C86" i="14"/>
  <c r="C63" i="14"/>
  <c r="C46" i="14" s="1"/>
  <c r="C38" i="14" s="1"/>
  <c r="C37" i="14" s="1"/>
  <c r="C33" i="14" s="1"/>
  <c r="B38" i="14"/>
  <c r="B37" i="14" s="1"/>
  <c r="B33" i="14" s="1"/>
  <c r="D38" i="14"/>
  <c r="D92" i="14"/>
  <c r="D86" i="14" s="1"/>
  <c r="C36" i="2" s="1"/>
  <c r="G9" i="14"/>
  <c r="D9" i="14"/>
  <c r="I25" i="14"/>
  <c r="I24" i="14" s="1"/>
  <c r="C25" i="14"/>
  <c r="C24" i="14" s="1"/>
  <c r="C9" i="14" s="1"/>
  <c r="I9" i="14" l="1"/>
  <c r="D37" i="14"/>
  <c r="D33" i="14" s="1"/>
  <c r="C35" i="2"/>
  <c r="C33" i="1" s="1"/>
  <c r="J57" i="3"/>
  <c r="J54" i="3"/>
  <c r="J53" i="3"/>
  <c r="J52" i="3"/>
  <c r="J51" i="3" l="1"/>
  <c r="J49" i="3"/>
  <c r="J48" i="3"/>
  <c r="D3" i="24"/>
  <c r="E3" i="24"/>
  <c r="F3" i="24"/>
  <c r="H3" i="24"/>
  <c r="C2" i="24"/>
  <c r="D2" i="24"/>
  <c r="E2" i="24"/>
  <c r="F2" i="24"/>
  <c r="G2" i="24"/>
  <c r="H2" i="24"/>
  <c r="B2" i="24"/>
  <c r="K2" i="22"/>
  <c r="C2" i="22"/>
  <c r="D2" i="22"/>
  <c r="E2" i="22"/>
  <c r="F2" i="22"/>
  <c r="B2" i="22"/>
  <c r="C2" i="21"/>
  <c r="D2" i="21"/>
  <c r="E2" i="21"/>
  <c r="F2" i="21"/>
  <c r="G2" i="21"/>
  <c r="H2" i="21"/>
  <c r="B2" i="21"/>
  <c r="C2" i="20"/>
  <c r="D2" i="20"/>
  <c r="E2" i="20"/>
  <c r="F2" i="20"/>
  <c r="G2" i="20"/>
  <c r="H2" i="20"/>
  <c r="I2" i="20"/>
  <c r="J2" i="20"/>
  <c r="B2" i="20"/>
  <c r="F2" i="18"/>
  <c r="E2" i="18"/>
  <c r="D2" i="18"/>
  <c r="C2" i="18"/>
  <c r="F2" i="17"/>
  <c r="E2" i="17"/>
  <c r="D2" i="17"/>
  <c r="B2" i="17"/>
  <c r="B2" i="16"/>
  <c r="E2" i="15"/>
  <c r="C2" i="15"/>
  <c r="D2" i="15"/>
  <c r="F2" i="15"/>
  <c r="G2" i="15"/>
  <c r="H2" i="15"/>
  <c r="B2" i="15"/>
  <c r="G7" i="25"/>
  <c r="D4" i="20"/>
  <c r="D19" i="20"/>
  <c r="D20" i="20" s="1"/>
  <c r="D34" i="20"/>
  <c r="D74" i="20"/>
  <c r="D90" i="20"/>
  <c r="D116" i="20"/>
  <c r="D130" i="20"/>
  <c r="D153" i="20"/>
  <c r="D172" i="20"/>
  <c r="D194" i="20"/>
  <c r="D212" i="20"/>
  <c r="D239" i="20"/>
  <c r="K7" i="20"/>
  <c r="K8" i="20"/>
  <c r="K9" i="20"/>
  <c r="K10" i="20"/>
  <c r="K11" i="20"/>
  <c r="K12" i="20"/>
  <c r="K13" i="20"/>
  <c r="AE12" i="19"/>
  <c r="J47" i="3" l="1"/>
  <c r="D35" i="20"/>
  <c r="D75" i="20" s="1"/>
  <c r="D91" i="20" s="1"/>
  <c r="D117" i="20" s="1"/>
  <c r="D131" i="20" s="1"/>
  <c r="D154" i="20" s="1"/>
  <c r="D173" i="20" s="1"/>
  <c r="D195" i="20" s="1"/>
  <c r="D213" i="20" s="1"/>
  <c r="D240" i="20" s="1"/>
  <c r="D21" i="20"/>
  <c r="D36" i="20" s="1"/>
  <c r="D52" i="20" s="1"/>
  <c r="D76" i="20" s="1"/>
  <c r="D92" i="20" s="1"/>
  <c r="D118" i="20" s="1"/>
  <c r="D132" i="20" s="1"/>
  <c r="D155" i="20" s="1"/>
  <c r="D174" i="20" s="1"/>
  <c r="D196" i="20" s="1"/>
  <c r="D214" i="20" s="1"/>
  <c r="D241" i="20" s="1"/>
  <c r="AE7" i="19"/>
  <c r="AE8" i="19"/>
  <c r="AE9" i="19"/>
  <c r="AE10" i="19"/>
  <c r="AE15" i="19"/>
  <c r="AE16" i="19"/>
  <c r="B17" i="19"/>
  <c r="B18" i="19" s="1"/>
  <c r="C17" i="19"/>
  <c r="C18" i="19" s="1"/>
  <c r="D17" i="19"/>
  <c r="D18" i="19" s="1"/>
  <c r="E17" i="19"/>
  <c r="E18" i="19" s="1"/>
  <c r="F17" i="19"/>
  <c r="F18" i="19" s="1"/>
  <c r="G17" i="19"/>
  <c r="H17" i="19"/>
  <c r="H18" i="19" s="1"/>
  <c r="I17" i="19"/>
  <c r="I18" i="19" s="1"/>
  <c r="J17" i="19"/>
  <c r="J18" i="19" s="1"/>
  <c r="K17" i="19"/>
  <c r="K18" i="19" s="1"/>
  <c r="L17" i="19"/>
  <c r="L18" i="19" s="1"/>
  <c r="M17" i="19"/>
  <c r="M18" i="19" s="1"/>
  <c r="N17" i="19"/>
  <c r="N18" i="19" s="1"/>
  <c r="O17" i="19"/>
  <c r="O18" i="19" s="1"/>
  <c r="P17" i="19"/>
  <c r="P18" i="19" s="1"/>
  <c r="Q17" i="19"/>
  <c r="Q18" i="19" s="1"/>
  <c r="R17" i="19"/>
  <c r="R18" i="19" s="1"/>
  <c r="S17" i="19"/>
  <c r="S18" i="19" s="1"/>
  <c r="T17" i="19"/>
  <c r="T18" i="19" s="1"/>
  <c r="U17" i="19"/>
  <c r="U18" i="19" s="1"/>
  <c r="V17" i="19"/>
  <c r="V18" i="19" s="1"/>
  <c r="W17" i="19"/>
  <c r="W18" i="19" s="1"/>
  <c r="X17" i="19"/>
  <c r="X18" i="19" s="1"/>
  <c r="Y17" i="19"/>
  <c r="Y18" i="19" s="1"/>
  <c r="Z17" i="19"/>
  <c r="AA17" i="19"/>
  <c r="AA18" i="19" s="1"/>
  <c r="AB17" i="19"/>
  <c r="AB18" i="19" s="1"/>
  <c r="AC17" i="19"/>
  <c r="AC18" i="19" s="1"/>
  <c r="AD17" i="19"/>
  <c r="AD18" i="19" s="1"/>
  <c r="AE21" i="19"/>
  <c r="AE22" i="19"/>
  <c r="AE23" i="19"/>
  <c r="AE25" i="19"/>
  <c r="AE26" i="19"/>
  <c r="AE27" i="19"/>
  <c r="AE28" i="19"/>
  <c r="F19" i="19" l="1"/>
  <c r="H19" i="19"/>
  <c r="E19" i="19"/>
  <c r="Z18" i="19"/>
  <c r="AE17" i="19"/>
  <c r="G19" i="19"/>
  <c r="G18" i="19"/>
  <c r="C2" i="25"/>
  <c r="D2" i="25"/>
  <c r="E2" i="25"/>
  <c r="F2" i="25"/>
  <c r="B2" i="25"/>
  <c r="B19" i="25"/>
  <c r="B30" i="25"/>
  <c r="B42" i="25"/>
  <c r="B53" i="25"/>
  <c r="B64" i="25"/>
  <c r="B75" i="25"/>
  <c r="B86" i="25"/>
  <c r="B97" i="25"/>
  <c r="B108" i="25"/>
  <c r="B119" i="25"/>
  <c r="B130" i="25"/>
  <c r="B141" i="25"/>
  <c r="K5" i="22"/>
  <c r="C5" i="22"/>
  <c r="D5" i="22"/>
  <c r="E5" i="22"/>
  <c r="F5" i="22"/>
  <c r="B5" i="22"/>
  <c r="E133" i="22"/>
  <c r="E122" i="22"/>
  <c r="E111" i="22"/>
  <c r="E100" i="22"/>
  <c r="E89" i="22"/>
  <c r="E81" i="22"/>
  <c r="E70" i="22"/>
  <c r="E59" i="22"/>
  <c r="E48" i="22"/>
  <c r="E37" i="22"/>
  <c r="E26" i="22"/>
  <c r="E15" i="22"/>
  <c r="H4" i="20"/>
  <c r="I4" i="20"/>
  <c r="K4" i="20"/>
  <c r="K14" i="20"/>
  <c r="K15" i="20"/>
  <c r="K16" i="20"/>
  <c r="K17" i="20"/>
  <c r="Z4" i="19"/>
  <c r="Z19" i="19" s="1"/>
  <c r="AA4" i="19"/>
  <c r="AA19" i="19" s="1"/>
  <c r="Z47" i="19"/>
  <c r="AA47" i="19"/>
  <c r="AA48" i="19" s="1"/>
  <c r="Z77" i="19"/>
  <c r="AA77" i="19"/>
  <c r="Z123" i="19"/>
  <c r="AA123" i="19"/>
  <c r="Z173" i="19"/>
  <c r="AA173" i="19"/>
  <c r="Z228" i="19"/>
  <c r="AA228" i="19"/>
  <c r="Z275" i="19"/>
  <c r="AA275" i="19"/>
  <c r="Z331" i="19"/>
  <c r="AA331" i="19"/>
  <c r="Z382" i="19"/>
  <c r="AA382" i="19"/>
  <c r="Z424" i="19"/>
  <c r="AA424" i="19"/>
  <c r="Z487" i="19"/>
  <c r="AA487" i="19"/>
  <c r="Z579" i="19"/>
  <c r="AA579" i="19"/>
  <c r="AB4" i="19"/>
  <c r="AB19" i="19" s="1"/>
  <c r="X4" i="19"/>
  <c r="X19" i="19" s="1"/>
  <c r="K4" i="19"/>
  <c r="K19" i="19" s="1"/>
  <c r="AE4" i="19"/>
  <c r="Y4" i="19"/>
  <c r="Y19" i="19" s="1"/>
  <c r="B134" i="14"/>
  <c r="AA78" i="19" l="1"/>
  <c r="AA124" i="19" s="1"/>
  <c r="AA174" i="19" s="1"/>
  <c r="AA229" i="19" s="1"/>
  <c r="AA276" i="19" s="1"/>
  <c r="AA332" i="19" s="1"/>
  <c r="AA383" i="19" s="1"/>
  <c r="AA425" i="19" s="1"/>
  <c r="AA488" i="19" s="1"/>
  <c r="AA580" i="19" s="1"/>
  <c r="E75" i="14" s="1"/>
  <c r="AE18" i="19"/>
  <c r="Z48" i="19"/>
  <c r="Z78" i="19" s="1"/>
  <c r="Z124" i="19" s="1"/>
  <c r="Z174" i="19" s="1"/>
  <c r="Z229" i="19" s="1"/>
  <c r="Z276" i="19" s="1"/>
  <c r="Z332" i="19" s="1"/>
  <c r="Z383" i="19" s="1"/>
  <c r="Z425" i="19" s="1"/>
  <c r="Z488" i="19" s="1"/>
  <c r="Z580" i="19" s="1"/>
  <c r="E76" i="14" s="1"/>
  <c r="B20" i="25"/>
  <c r="B31" i="25" s="1"/>
  <c r="B43" i="25" s="1"/>
  <c r="B54" i="25" s="1"/>
  <c r="B65" i="25" s="1"/>
  <c r="B76" i="25" s="1"/>
  <c r="B87" i="25" s="1"/>
  <c r="B98" i="25" s="1"/>
  <c r="B109" i="25" s="1"/>
  <c r="B120" i="25" s="1"/>
  <c r="B131" i="25" s="1"/>
  <c r="B142" i="25" s="1"/>
  <c r="E129" i="14" s="1"/>
  <c r="F129" i="14" s="1"/>
  <c r="Z49" i="19"/>
  <c r="Z79" i="19" s="1"/>
  <c r="Z125" i="19" s="1"/>
  <c r="Z175" i="19" s="1"/>
  <c r="Z230" i="19" s="1"/>
  <c r="Z277" i="19" s="1"/>
  <c r="Z333" i="19" s="1"/>
  <c r="Z384" i="19" s="1"/>
  <c r="Z426" i="19" s="1"/>
  <c r="Z489" i="19" s="1"/>
  <c r="Z581" i="19" s="1"/>
  <c r="E17" i="22"/>
  <c r="E28" i="22" s="1"/>
  <c r="E39" i="22" s="1"/>
  <c r="E50" i="22" s="1"/>
  <c r="E61" i="22" s="1"/>
  <c r="E72" i="22" s="1"/>
  <c r="E83" i="22" s="1"/>
  <c r="E91" i="22" s="1"/>
  <c r="E102" i="22" s="1"/>
  <c r="E113" i="22" s="1"/>
  <c r="E124" i="22" s="1"/>
  <c r="E135" i="22" s="1"/>
  <c r="L5" i="22"/>
  <c r="E16" i="22"/>
  <c r="E27" i="22" s="1"/>
  <c r="E38" i="22" s="1"/>
  <c r="E49" i="22" s="1"/>
  <c r="E60" i="22" s="1"/>
  <c r="E71" i="22" s="1"/>
  <c r="E82" i="22" s="1"/>
  <c r="E90" i="22" s="1"/>
  <c r="E101" i="22" s="1"/>
  <c r="E112" i="22" s="1"/>
  <c r="E123" i="22" s="1"/>
  <c r="E134" i="22" s="1"/>
  <c r="AA49" i="19"/>
  <c r="AA79" i="19" s="1"/>
  <c r="AA125" i="19" s="1"/>
  <c r="AA175" i="19" s="1"/>
  <c r="AA230" i="19" s="1"/>
  <c r="AA277" i="19" s="1"/>
  <c r="AA333" i="19" s="1"/>
  <c r="AA384" i="19" s="1"/>
  <c r="AA426" i="19" s="1"/>
  <c r="AA489" i="19" s="1"/>
  <c r="AA581" i="19" s="1"/>
  <c r="F75" i="14" l="1"/>
  <c r="J75" i="14"/>
  <c r="J76" i="14"/>
  <c r="F76" i="14"/>
  <c r="E45" i="3"/>
  <c r="J45" i="3" s="1"/>
  <c r="E43" i="3"/>
  <c r="J43" i="3" s="1"/>
  <c r="E42" i="3"/>
  <c r="J42" i="3" s="1"/>
  <c r="E41" i="3"/>
  <c r="J41" i="3" s="1"/>
  <c r="E40" i="3"/>
  <c r="J40" i="3" s="1"/>
  <c r="E28" i="3"/>
  <c r="E21" i="3"/>
  <c r="E20" i="3"/>
  <c r="F20" i="3" s="1"/>
  <c r="E19" i="3"/>
  <c r="E18" i="3"/>
  <c r="E17" i="3"/>
  <c r="I16" i="3"/>
  <c r="I12" i="3" s="1"/>
  <c r="I11" i="3" s="1"/>
  <c r="I10" i="3" s="1"/>
  <c r="G16" i="3"/>
  <c r="G12" i="3" s="1"/>
  <c r="G11" i="3" s="1"/>
  <c r="G10" i="3" s="1"/>
  <c r="D16" i="3"/>
  <c r="D12" i="3" s="1"/>
  <c r="D11" i="3" s="1"/>
  <c r="D10" i="3" s="1"/>
  <c r="C16" i="3"/>
  <c r="C12" i="3" s="1"/>
  <c r="C11" i="3" s="1"/>
  <c r="C10" i="3" s="1"/>
  <c r="B16" i="3"/>
  <c r="B12" i="3" s="1"/>
  <c r="J21" i="3" l="1"/>
  <c r="F21" i="3"/>
  <c r="J17" i="3"/>
  <c r="F17" i="3"/>
  <c r="J18" i="3"/>
  <c r="F18" i="3"/>
  <c r="J19" i="3"/>
  <c r="J16" i="3" s="1"/>
  <c r="F19" i="3"/>
  <c r="F28" i="3"/>
  <c r="J28" i="3"/>
  <c r="J39" i="3"/>
  <c r="E39" i="3"/>
  <c r="E16" i="3"/>
  <c r="F16" i="3" l="1"/>
  <c r="E14" i="3"/>
  <c r="E13" i="3"/>
  <c r="J13" i="3" l="1"/>
  <c r="F13" i="3"/>
  <c r="F12" i="3" s="1"/>
  <c r="F11" i="3" s="1"/>
  <c r="J14" i="3"/>
  <c r="F14" i="3"/>
  <c r="E12" i="3"/>
  <c r="E11" i="3" s="1"/>
  <c r="B25" i="3"/>
  <c r="B24" i="3" s="1"/>
  <c r="B9" i="3" s="1"/>
  <c r="D25" i="3"/>
  <c r="D24" i="3" s="1"/>
  <c r="G25" i="3"/>
  <c r="G24" i="3" s="1"/>
  <c r="C27" i="3"/>
  <c r="I27" i="3"/>
  <c r="C28" i="3"/>
  <c r="I28" i="3"/>
  <c r="C29" i="3"/>
  <c r="I29" i="3"/>
  <c r="C31" i="3"/>
  <c r="I31" i="3"/>
  <c r="C32" i="3"/>
  <c r="E32" i="3"/>
  <c r="I32" i="3"/>
  <c r="H5" i="3"/>
  <c r="H5" i="14" s="1"/>
  <c r="J5" i="3"/>
  <c r="J5" i="14" s="1"/>
  <c r="B39" i="3"/>
  <c r="D39" i="3"/>
  <c r="G39" i="3"/>
  <c r="C40" i="3"/>
  <c r="F40" i="3"/>
  <c r="I40" i="3"/>
  <c r="C41" i="3"/>
  <c r="F41" i="3"/>
  <c r="I41" i="3"/>
  <c r="C42" i="3"/>
  <c r="F42" i="3"/>
  <c r="I42" i="3"/>
  <c r="C43" i="3"/>
  <c r="F43" i="3"/>
  <c r="I43" i="3"/>
  <c r="C44" i="3"/>
  <c r="F44" i="3"/>
  <c r="I44" i="3"/>
  <c r="C45" i="3"/>
  <c r="F45" i="3"/>
  <c r="I45" i="3"/>
  <c r="D47" i="3"/>
  <c r="E47" i="3"/>
  <c r="G47" i="3"/>
  <c r="B48" i="3"/>
  <c r="B47" i="3" s="1"/>
  <c r="C48" i="3"/>
  <c r="F48" i="3"/>
  <c r="I48" i="3"/>
  <c r="C49" i="3"/>
  <c r="F49" i="3"/>
  <c r="I49" i="3"/>
  <c r="C50" i="3"/>
  <c r="F50" i="3"/>
  <c r="I50" i="3"/>
  <c r="D51" i="3"/>
  <c r="G51" i="3"/>
  <c r="B52" i="3"/>
  <c r="C52" i="3"/>
  <c r="F52" i="3"/>
  <c r="I52" i="3"/>
  <c r="I51" i="3" s="1"/>
  <c r="B53" i="3"/>
  <c r="C53" i="3"/>
  <c r="F53" i="3"/>
  <c r="C54" i="3"/>
  <c r="F54" i="3"/>
  <c r="C55" i="3"/>
  <c r="F55" i="3"/>
  <c r="I55" i="3"/>
  <c r="C56" i="3"/>
  <c r="I56" i="3"/>
  <c r="B57" i="3"/>
  <c r="C57" i="3"/>
  <c r="F57" i="3"/>
  <c r="I57" i="3"/>
  <c r="C58" i="3"/>
  <c r="F58" i="3"/>
  <c r="I58" i="3"/>
  <c r="C59" i="3"/>
  <c r="F59" i="3"/>
  <c r="I59" i="3"/>
  <c r="C60" i="3"/>
  <c r="F60" i="3"/>
  <c r="I60" i="3"/>
  <c r="C61" i="3"/>
  <c r="F61" i="3"/>
  <c r="I61" i="3"/>
  <c r="C62" i="3"/>
  <c r="F62" i="3"/>
  <c r="I62" i="3"/>
  <c r="G63" i="3"/>
  <c r="G46" i="3" s="1"/>
  <c r="I63" i="3"/>
  <c r="J65" i="3"/>
  <c r="J66" i="3"/>
  <c r="J67" i="3"/>
  <c r="J69" i="3"/>
  <c r="C73" i="3"/>
  <c r="J73" i="3"/>
  <c r="C74" i="3"/>
  <c r="J74" i="3"/>
  <c r="C75" i="3"/>
  <c r="F75" i="3"/>
  <c r="C76" i="3"/>
  <c r="J76" i="3"/>
  <c r="I76" i="3"/>
  <c r="D77" i="3"/>
  <c r="G77" i="3"/>
  <c r="C78" i="3"/>
  <c r="I78" i="3"/>
  <c r="B79" i="3"/>
  <c r="C79" i="3"/>
  <c r="E79" i="3"/>
  <c r="J79" i="3" s="1"/>
  <c r="I79" i="3"/>
  <c r="C80" i="3"/>
  <c r="F80" i="3"/>
  <c r="I80" i="3"/>
  <c r="C81" i="3"/>
  <c r="F81" i="3"/>
  <c r="I81" i="3"/>
  <c r="C82" i="3"/>
  <c r="F82" i="3"/>
  <c r="I82" i="3"/>
  <c r="B83" i="3"/>
  <c r="C83" i="3"/>
  <c r="I83" i="3"/>
  <c r="B84" i="3"/>
  <c r="C84" i="3"/>
  <c r="E84" i="3"/>
  <c r="J84" i="3" s="1"/>
  <c r="I84" i="3"/>
  <c r="B85" i="3"/>
  <c r="C85" i="3"/>
  <c r="E85" i="3"/>
  <c r="I85" i="3"/>
  <c r="B87" i="3"/>
  <c r="I87" i="3"/>
  <c r="I88" i="3"/>
  <c r="B89" i="3"/>
  <c r="I89" i="3"/>
  <c r="C90" i="3"/>
  <c r="F90" i="3"/>
  <c r="I90" i="3"/>
  <c r="F91" i="3"/>
  <c r="G92" i="3"/>
  <c r="C93" i="3"/>
  <c r="I93" i="3"/>
  <c r="C94" i="3"/>
  <c r="I94" i="3"/>
  <c r="B95" i="3"/>
  <c r="D95" i="3"/>
  <c r="C95" i="3" s="1"/>
  <c r="I95" i="3"/>
  <c r="B96" i="3"/>
  <c r="D96" i="3"/>
  <c r="C96" i="3" s="1"/>
  <c r="I96" i="3"/>
  <c r="C97" i="3"/>
  <c r="I97" i="3"/>
  <c r="B101" i="3"/>
  <c r="D101" i="3"/>
  <c r="E101" i="3"/>
  <c r="G101" i="3"/>
  <c r="C102" i="3"/>
  <c r="F102" i="3"/>
  <c r="I102" i="3"/>
  <c r="C103" i="3"/>
  <c r="F103" i="3"/>
  <c r="I103" i="3"/>
  <c r="B104" i="3"/>
  <c r="D104" i="3"/>
  <c r="G104" i="3"/>
  <c r="C105" i="3"/>
  <c r="E105" i="3"/>
  <c r="J105" i="3" s="1"/>
  <c r="I105" i="3"/>
  <c r="C106" i="3"/>
  <c r="E106" i="3"/>
  <c r="I106" i="3"/>
  <c r="C107" i="3"/>
  <c r="F107" i="3"/>
  <c r="I107" i="3"/>
  <c r="D108" i="3"/>
  <c r="E108" i="3"/>
  <c r="G108" i="3"/>
  <c r="C109" i="3"/>
  <c r="C108" i="3" s="1"/>
  <c r="F109" i="3"/>
  <c r="F108" i="3" s="1"/>
  <c r="I109" i="3"/>
  <c r="I108" i="3" s="1"/>
  <c r="D110" i="3"/>
  <c r="E110" i="3"/>
  <c r="G110" i="3"/>
  <c r="C111" i="3"/>
  <c r="C110" i="3" s="1"/>
  <c r="F111" i="3"/>
  <c r="F110" i="3" s="1"/>
  <c r="I111" i="3"/>
  <c r="I110" i="3" s="1"/>
  <c r="D112" i="3"/>
  <c r="E112" i="3"/>
  <c r="G112" i="3"/>
  <c r="C113" i="3"/>
  <c r="C112" i="3" s="1"/>
  <c r="F113" i="3"/>
  <c r="F112" i="3" s="1"/>
  <c r="I113" i="3"/>
  <c r="I112" i="3" s="1"/>
  <c r="B114" i="3"/>
  <c r="D114" i="3"/>
  <c r="E114" i="3"/>
  <c r="G114" i="3"/>
  <c r="C115" i="3"/>
  <c r="C114" i="3" s="1"/>
  <c r="F115" i="3"/>
  <c r="F114" i="3" s="1"/>
  <c r="I115" i="3"/>
  <c r="I114" i="3" s="1"/>
  <c r="B116" i="3"/>
  <c r="D116" i="3"/>
  <c r="G116" i="3"/>
  <c r="C117" i="3"/>
  <c r="C116" i="3" s="1"/>
  <c r="E117" i="3"/>
  <c r="I117" i="3"/>
  <c r="I116" i="3" s="1"/>
  <c r="B120" i="3"/>
  <c r="B119" i="3" s="1"/>
  <c r="D120" i="3"/>
  <c r="D119" i="3" s="1"/>
  <c r="G120" i="3"/>
  <c r="G119" i="3" s="1"/>
  <c r="C121" i="3"/>
  <c r="I121" i="3"/>
  <c r="C122" i="3"/>
  <c r="I122" i="3"/>
  <c r="C123" i="3"/>
  <c r="I123" i="3"/>
  <c r="C124" i="3"/>
  <c r="I124" i="3"/>
  <c r="C125" i="3"/>
  <c r="I125" i="3"/>
  <c r="C126" i="3"/>
  <c r="I126" i="3"/>
  <c r="C127" i="3"/>
  <c r="I127" i="3"/>
  <c r="B128" i="3"/>
  <c r="D128" i="3"/>
  <c r="G128" i="3"/>
  <c r="C129" i="3"/>
  <c r="E129" i="3"/>
  <c r="I129" i="3"/>
  <c r="C130" i="3"/>
  <c r="F130" i="3"/>
  <c r="I130" i="3"/>
  <c r="C131" i="3"/>
  <c r="F131" i="3"/>
  <c r="I131" i="3"/>
  <c r="C132" i="3"/>
  <c r="F132" i="3"/>
  <c r="C133" i="3"/>
  <c r="F133" i="3"/>
  <c r="I133" i="3"/>
  <c r="B135" i="3"/>
  <c r="E135" i="3"/>
  <c r="G135" i="3"/>
  <c r="H135" i="3"/>
  <c r="I135" i="3"/>
  <c r="C136" i="3"/>
  <c r="F136" i="3"/>
  <c r="D137" i="3"/>
  <c r="F137" i="3" s="1"/>
  <c r="J12" i="3" l="1"/>
  <c r="J11" i="3" s="1"/>
  <c r="F106" i="3"/>
  <c r="J106" i="3"/>
  <c r="F83" i="3"/>
  <c r="J83" i="3"/>
  <c r="F129" i="3"/>
  <c r="F128" i="3" s="1"/>
  <c r="J129" i="3"/>
  <c r="J128" i="3" s="1"/>
  <c r="E116" i="3"/>
  <c r="J117" i="3"/>
  <c r="J116" i="3" s="1"/>
  <c r="J104" i="3"/>
  <c r="J100" i="3" s="1"/>
  <c r="J99" i="3" s="1"/>
  <c r="J98" i="3" s="1"/>
  <c r="F78" i="3"/>
  <c r="J78" i="3"/>
  <c r="J77" i="3" s="1"/>
  <c r="F32" i="3"/>
  <c r="J32" i="3"/>
  <c r="F85" i="3"/>
  <c r="J85" i="3"/>
  <c r="F117" i="3"/>
  <c r="F116" i="3" s="1"/>
  <c r="E104" i="3"/>
  <c r="D92" i="3"/>
  <c r="D86" i="3" s="1"/>
  <c r="I104" i="3"/>
  <c r="F101" i="3"/>
  <c r="G38" i="3"/>
  <c r="I128" i="3"/>
  <c r="E128" i="3"/>
  <c r="C104" i="3"/>
  <c r="B77" i="3"/>
  <c r="F74" i="3"/>
  <c r="D100" i="3"/>
  <c r="D99" i="3" s="1"/>
  <c r="D98" i="3" s="1"/>
  <c r="D118" i="3"/>
  <c r="I92" i="3"/>
  <c r="F105" i="3"/>
  <c r="F104" i="3" s="1"/>
  <c r="F100" i="3" s="1"/>
  <c r="F99" i="3" s="1"/>
  <c r="F98" i="3" s="1"/>
  <c r="C92" i="3"/>
  <c r="C86" i="3" s="1"/>
  <c r="I120" i="3"/>
  <c r="I119" i="3" s="1"/>
  <c r="F84" i="3"/>
  <c r="C39" i="3"/>
  <c r="F135" i="3"/>
  <c r="C120" i="3"/>
  <c r="C119" i="3" s="1"/>
  <c r="C77" i="3"/>
  <c r="C128" i="3"/>
  <c r="G100" i="3"/>
  <c r="G99" i="3" s="1"/>
  <c r="G98" i="3" s="1"/>
  <c r="F73" i="3"/>
  <c r="G118" i="3"/>
  <c r="I77" i="3"/>
  <c r="C51" i="3"/>
  <c r="C46" i="3" s="1"/>
  <c r="B63" i="3"/>
  <c r="B46" i="3" s="1"/>
  <c r="B38" i="3" s="1"/>
  <c r="B51" i="3"/>
  <c r="C47" i="3"/>
  <c r="B118" i="3"/>
  <c r="I101" i="3"/>
  <c r="B100" i="3"/>
  <c r="B99" i="3" s="1"/>
  <c r="B98" i="3" s="1"/>
  <c r="F76" i="3"/>
  <c r="B92" i="3"/>
  <c r="B86" i="3" s="1"/>
  <c r="F79" i="3"/>
  <c r="C101" i="3"/>
  <c r="C25" i="3"/>
  <c r="C24" i="3" s="1"/>
  <c r="C9" i="3" s="1"/>
  <c r="I47" i="3"/>
  <c r="I46" i="3" s="1"/>
  <c r="F51" i="3"/>
  <c r="F47" i="3"/>
  <c r="I25" i="3"/>
  <c r="I24" i="3" s="1"/>
  <c r="I9" i="3" s="1"/>
  <c r="I39" i="3"/>
  <c r="F39" i="3"/>
  <c r="D9" i="3"/>
  <c r="G9" i="3"/>
  <c r="C63" i="3"/>
  <c r="I118" i="3"/>
  <c r="E100" i="3"/>
  <c r="E99" i="3" s="1"/>
  <c r="E98" i="3" s="1"/>
  <c r="F69" i="3"/>
  <c r="F67" i="3"/>
  <c r="F65" i="3"/>
  <c r="C137" i="3"/>
  <c r="C135" i="3" s="1"/>
  <c r="E77" i="3"/>
  <c r="D63" i="3"/>
  <c r="F66" i="3"/>
  <c r="D46" i="3" l="1"/>
  <c r="D38" i="3" s="1"/>
  <c r="D37" i="3" s="1"/>
  <c r="D33" i="3" s="1"/>
  <c r="D8" i="3" s="1"/>
  <c r="D7" i="3" s="1"/>
  <c r="I100" i="3"/>
  <c r="I99" i="3" s="1"/>
  <c r="I98" i="3" s="1"/>
  <c r="F77" i="3"/>
  <c r="B37" i="3"/>
  <c r="B33" i="3" s="1"/>
  <c r="B8" i="3" s="1"/>
  <c r="B7" i="3" s="1"/>
  <c r="C118" i="3"/>
  <c r="C100" i="3"/>
  <c r="C99" i="3" s="1"/>
  <c r="C98" i="3" s="1"/>
  <c r="C38" i="3"/>
  <c r="C37" i="3" s="1"/>
  <c r="C33" i="3" s="1"/>
  <c r="C8" i="3" s="1"/>
  <c r="C7" i="3" s="1"/>
  <c r="I38" i="3"/>
  <c r="B32" i="2" l="1"/>
  <c r="B30" i="1" s="1"/>
  <c r="B29" i="1" s="1"/>
  <c r="B60" i="2"/>
  <c r="B29" i="2"/>
  <c r="B58" i="2"/>
  <c r="B30" i="2"/>
  <c r="B28" i="1" s="1"/>
  <c r="B57" i="2"/>
  <c r="B9" i="2" l="1"/>
  <c r="B27" i="1"/>
  <c r="G5" i="24"/>
  <c r="F5" i="24"/>
  <c r="E5" i="24"/>
  <c r="D5" i="24"/>
  <c r="C5" i="24"/>
  <c r="B5" i="24"/>
  <c r="H5" i="24" l="1"/>
  <c r="I5" i="24" s="1"/>
  <c r="Q290" i="12"/>
  <c r="Q289" i="12"/>
  <c r="Q288" i="12"/>
  <c r="Q287" i="12"/>
  <c r="Q286" i="12"/>
  <c r="Q285" i="12"/>
  <c r="Q284" i="12"/>
  <c r="Q283" i="12"/>
  <c r="Q282" i="12"/>
  <c r="Q281" i="12"/>
  <c r="Q280" i="12"/>
  <c r="Q279" i="12"/>
  <c r="Q278" i="12"/>
  <c r="Q277" i="12"/>
  <c r="Q276" i="12"/>
  <c r="Q275" i="12"/>
  <c r="Q274" i="12"/>
  <c r="Q273" i="12"/>
  <c r="Q272" i="12"/>
  <c r="Q271" i="12"/>
  <c r="Q270" i="12"/>
  <c r="Q266" i="12"/>
  <c r="Q265" i="12"/>
  <c r="Q264" i="12"/>
  <c r="Q263" i="12"/>
  <c r="Q262" i="12"/>
  <c r="Q261" i="12"/>
  <c r="Q260" i="12"/>
  <c r="Q259" i="12"/>
  <c r="Q258" i="12"/>
  <c r="Q257" i="12"/>
  <c r="Q256" i="12"/>
  <c r="Q255" i="12"/>
  <c r="Q254" i="12"/>
  <c r="Q253" i="12"/>
  <c r="Q252" i="12"/>
  <c r="Q251" i="12"/>
  <c r="Q250" i="12"/>
  <c r="Q249" i="12"/>
  <c r="Q248" i="12"/>
  <c r="Q247" i="12"/>
  <c r="Q242" i="12"/>
  <c r="Q241" i="12"/>
  <c r="Q240" i="12"/>
  <c r="Q239" i="12"/>
  <c r="Q238" i="12"/>
  <c r="Q237" i="12"/>
  <c r="Q236" i="12"/>
  <c r="Q235" i="12"/>
  <c r="Q234" i="12"/>
  <c r="Q233" i="12"/>
  <c r="Q232" i="12"/>
  <c r="Q231" i="12"/>
  <c r="Q230" i="12"/>
  <c r="Q229" i="12"/>
  <c r="Q228" i="12"/>
  <c r="Q227" i="12"/>
  <c r="Q226" i="12"/>
  <c r="Q225" i="12"/>
  <c r="Q224" i="12"/>
  <c r="Q223" i="12"/>
  <c r="Q218" i="12"/>
  <c r="Q217" i="12"/>
  <c r="Q216" i="12"/>
  <c r="Q215" i="12"/>
  <c r="Q214" i="12"/>
  <c r="Q213" i="12"/>
  <c r="Q212" i="12"/>
  <c r="Q211" i="12"/>
  <c r="Q210" i="12"/>
  <c r="Q209" i="12"/>
  <c r="Q208" i="12"/>
  <c r="Q207" i="12"/>
  <c r="Q206" i="12"/>
  <c r="Q205" i="12"/>
  <c r="Q204" i="12"/>
  <c r="Q201" i="12"/>
  <c r="Q200" i="12"/>
  <c r="Q199" i="12"/>
  <c r="Q194" i="12"/>
  <c r="Q193" i="12"/>
  <c r="Q192" i="12"/>
  <c r="Q191" i="12"/>
  <c r="Q190" i="12"/>
  <c r="Q189" i="12"/>
  <c r="Q188" i="12"/>
  <c r="Q187" i="12"/>
  <c r="Q186" i="12"/>
  <c r="Q185" i="12"/>
  <c r="Q184" i="12"/>
  <c r="Q183" i="12"/>
  <c r="Q182" i="12"/>
  <c r="Q181" i="12"/>
  <c r="Q180" i="12"/>
  <c r="Q179" i="12"/>
  <c r="Q178" i="12"/>
  <c r="Q177" i="12"/>
  <c r="Q176" i="12"/>
  <c r="Q175" i="12"/>
  <c r="Q170" i="12"/>
  <c r="Q169" i="12"/>
  <c r="Q168" i="12"/>
  <c r="Q167" i="12"/>
  <c r="Q166" i="12"/>
  <c r="Q165" i="12"/>
  <c r="Q164" i="12"/>
  <c r="Q163" i="12"/>
  <c r="Q162" i="12"/>
  <c r="Q161" i="12"/>
  <c r="Q160" i="12"/>
  <c r="Q159" i="12"/>
  <c r="Q158" i="12"/>
  <c r="Q157" i="12"/>
  <c r="Q156" i="12"/>
  <c r="Q153" i="12"/>
  <c r="Q152" i="12"/>
  <c r="Q151" i="12"/>
  <c r="Q146" i="12"/>
  <c r="Q145" i="12"/>
  <c r="Q144" i="12"/>
  <c r="Q143" i="12"/>
  <c r="Q142" i="12"/>
  <c r="Q141" i="12"/>
  <c r="Q140" i="12"/>
  <c r="Q139" i="12"/>
  <c r="Q138" i="12"/>
  <c r="Q137" i="12"/>
  <c r="Q136" i="12"/>
  <c r="Q135" i="12"/>
  <c r="Q134" i="12"/>
  <c r="Q133" i="12"/>
  <c r="Q130" i="12"/>
  <c r="Q129" i="12"/>
  <c r="Q128" i="12"/>
  <c r="Q127" i="12"/>
  <c r="Q122" i="12"/>
  <c r="Q121" i="12"/>
  <c r="Q120" i="12"/>
  <c r="Q119" i="12"/>
  <c r="Q118" i="12"/>
  <c r="Q117" i="12"/>
  <c r="Q116" i="12"/>
  <c r="Q115" i="12"/>
  <c r="Q114" i="12"/>
  <c r="Q113" i="12"/>
  <c r="Q112" i="12"/>
  <c r="Q111" i="12"/>
  <c r="Q110" i="12"/>
  <c r="Q109" i="12"/>
  <c r="Q108" i="12"/>
  <c r="Q107" i="12"/>
  <c r="Q106" i="12"/>
  <c r="Q105" i="12"/>
  <c r="Q104" i="12"/>
  <c r="Q103" i="12"/>
  <c r="Q98" i="12"/>
  <c r="Q97" i="12"/>
  <c r="Q96" i="12"/>
  <c r="Q95" i="12"/>
  <c r="Q94" i="12"/>
  <c r="Q93" i="12"/>
  <c r="Q92" i="12"/>
  <c r="Q91" i="12"/>
  <c r="Q90" i="12"/>
  <c r="Q89" i="12"/>
  <c r="Q88" i="12"/>
  <c r="Q85" i="12"/>
  <c r="Q84" i="12"/>
  <c r="Q83" i="12"/>
  <c r="Q82" i="12"/>
  <c r="Q81" i="12"/>
  <c r="Q80" i="12"/>
  <c r="Q79" i="12"/>
  <c r="Q74" i="12"/>
  <c r="Q73" i="12"/>
  <c r="Q72" i="12"/>
  <c r="Q71" i="12"/>
  <c r="Q70" i="12"/>
  <c r="Q69" i="12"/>
  <c r="Q68" i="12"/>
  <c r="Q65" i="12"/>
  <c r="Q64" i="12"/>
  <c r="Q63" i="12"/>
  <c r="Q62" i="12"/>
  <c r="Q61" i="12"/>
  <c r="Q60" i="12"/>
  <c r="Q59" i="12"/>
  <c r="Q58" i="12"/>
  <c r="Q57" i="12"/>
  <c r="Q56" i="12"/>
  <c r="Q55" i="12"/>
  <c r="B4" i="25"/>
  <c r="F4" i="25"/>
  <c r="E4" i="25"/>
  <c r="D4" i="25"/>
  <c r="C4" i="25"/>
  <c r="H5" i="2"/>
  <c r="G4" i="25" l="1"/>
  <c r="B21" i="25"/>
  <c r="B32" i="25" s="1"/>
  <c r="B44" i="25" s="1"/>
  <c r="B55" i="25" s="1"/>
  <c r="B66" i="25" s="1"/>
  <c r="B77" i="25" s="1"/>
  <c r="B88" i="25" s="1"/>
  <c r="B99" i="25" s="1"/>
  <c r="B110" i="25" s="1"/>
  <c r="B121" i="25" s="1"/>
  <c r="B132" i="25" s="1"/>
  <c r="B143" i="25" l="1"/>
  <c r="S235" i="9"/>
  <c r="S234" i="9"/>
  <c r="S233" i="9"/>
  <c r="S232" i="9"/>
  <c r="S231" i="9"/>
  <c r="S230" i="9"/>
  <c r="S229" i="9"/>
  <c r="S228" i="9"/>
  <c r="S227" i="9"/>
  <c r="S226" i="9"/>
  <c r="S225" i="9"/>
  <c r="S224" i="9"/>
  <c r="S223" i="9"/>
  <c r="S222" i="9"/>
  <c r="S221" i="9"/>
  <c r="S220" i="9"/>
  <c r="S219" i="9"/>
  <c r="S218" i="9"/>
  <c r="S217" i="9"/>
  <c r="S216" i="9"/>
  <c r="S215" i="9"/>
  <c r="S211" i="9"/>
  <c r="S210" i="9"/>
  <c r="S209" i="9"/>
  <c r="S208" i="9"/>
  <c r="S207" i="9"/>
  <c r="S206" i="9"/>
  <c r="S205" i="9"/>
  <c r="S204" i="9"/>
  <c r="S203" i="9"/>
  <c r="S202" i="9"/>
  <c r="S201" i="9"/>
  <c r="S200" i="9"/>
  <c r="S199" i="9"/>
  <c r="S198" i="9"/>
  <c r="S197" i="9"/>
  <c r="S196" i="9"/>
  <c r="S195" i="9"/>
  <c r="S194" i="9"/>
  <c r="S193" i="9"/>
  <c r="S192" i="9"/>
  <c r="M7" i="14" l="1"/>
  <c r="C579" i="19" l="1"/>
  <c r="B579" i="19"/>
  <c r="M119" i="14"/>
  <c r="M46" i="14"/>
  <c r="AE492" i="19" l="1"/>
  <c r="I115" i="14"/>
  <c r="I114" i="14" s="1"/>
  <c r="J115" i="14"/>
  <c r="J114" i="14" s="1"/>
  <c r="H114" i="14"/>
  <c r="G223" i="24"/>
  <c r="J201" i="12"/>
  <c r="E114" i="14" l="1"/>
  <c r="H153" i="12" l="1"/>
  <c r="F201" i="12"/>
  <c r="M98" i="14"/>
  <c r="G115" i="17"/>
  <c r="G114" i="17"/>
  <c r="G113" i="17"/>
  <c r="G112" i="17"/>
  <c r="G104" i="17"/>
  <c r="G105" i="17"/>
  <c r="C97" i="16"/>
  <c r="E267" i="18" l="1"/>
  <c r="G226" i="18"/>
  <c r="AE574" i="19"/>
  <c r="AE575" i="19"/>
  <c r="AE576" i="19"/>
  <c r="AE577" i="19"/>
  <c r="L186" i="12" l="1"/>
  <c r="L187" i="12"/>
  <c r="L188" i="12"/>
  <c r="L189" i="12"/>
  <c r="L190" i="12"/>
  <c r="G258" i="18" l="1"/>
  <c r="G259" i="18"/>
  <c r="G260" i="18"/>
  <c r="G261" i="18"/>
  <c r="G262" i="18"/>
  <c r="G263" i="18"/>
  <c r="G264" i="18"/>
  <c r="G249" i="18" l="1"/>
  <c r="G250" i="18"/>
  <c r="G251" i="18"/>
  <c r="G252" i="18"/>
  <c r="G253" i="18"/>
  <c r="G254" i="18"/>
  <c r="G255" i="18"/>
  <c r="G256" i="18"/>
  <c r="G257" i="18"/>
  <c r="G248" i="18"/>
  <c r="G243" i="18"/>
  <c r="G244" i="18"/>
  <c r="G245" i="18"/>
  <c r="G246" i="18"/>
  <c r="G247" i="18"/>
  <c r="G265" i="18"/>
  <c r="G242" i="18"/>
  <c r="AE542" i="19"/>
  <c r="I271" i="21"/>
  <c r="I272" i="21"/>
  <c r="I273" i="21"/>
  <c r="I274" i="21"/>
  <c r="I275" i="21"/>
  <c r="I276" i="21"/>
  <c r="K217" i="20"/>
  <c r="K218" i="20"/>
  <c r="K219" i="20"/>
  <c r="K220" i="20"/>
  <c r="K221" i="20"/>
  <c r="K222" i="20"/>
  <c r="K223" i="20"/>
  <c r="K224" i="20"/>
  <c r="K225" i="20"/>
  <c r="K226" i="20"/>
  <c r="K227" i="20"/>
  <c r="K228" i="20"/>
  <c r="K229" i="20"/>
  <c r="K230" i="20"/>
  <c r="K231" i="20"/>
  <c r="K232" i="20"/>
  <c r="K233" i="20"/>
  <c r="K234" i="20"/>
  <c r="K235" i="20"/>
  <c r="K236" i="20"/>
  <c r="K237" i="20"/>
  <c r="K216" i="20"/>
  <c r="L127" i="22" l="1"/>
  <c r="L128" i="22"/>
  <c r="L129" i="22"/>
  <c r="L130" i="22"/>
  <c r="L131" i="22"/>
  <c r="L126" i="22"/>
  <c r="I190" i="24"/>
  <c r="I191" i="24"/>
  <c r="I192" i="24"/>
  <c r="I193" i="24"/>
  <c r="I194" i="24"/>
  <c r="I195" i="24"/>
  <c r="I196" i="24"/>
  <c r="I197" i="24"/>
  <c r="I198" i="24"/>
  <c r="I199" i="24"/>
  <c r="I200" i="24"/>
  <c r="I201" i="24"/>
  <c r="I202" i="24"/>
  <c r="I203" i="24"/>
  <c r="I204" i="24"/>
  <c r="I205" i="24"/>
  <c r="I206" i="24"/>
  <c r="I207" i="24"/>
  <c r="I208" i="24"/>
  <c r="I209" i="24"/>
  <c r="I210" i="24"/>
  <c r="I211" i="24"/>
  <c r="I212" i="24"/>
  <c r="I213" i="24"/>
  <c r="I214" i="24"/>
  <c r="I215" i="24"/>
  <c r="I216" i="24"/>
  <c r="I217" i="24"/>
  <c r="I218" i="24"/>
  <c r="I219" i="24"/>
  <c r="I220" i="24"/>
  <c r="I221" i="24"/>
  <c r="I189" i="24"/>
  <c r="AE493" i="19"/>
  <c r="AE494" i="19"/>
  <c r="AE495" i="19"/>
  <c r="AE496" i="19"/>
  <c r="AE497" i="19"/>
  <c r="AE498" i="19"/>
  <c r="AE499" i="19"/>
  <c r="AE500" i="19"/>
  <c r="AE501" i="19"/>
  <c r="AE502" i="19"/>
  <c r="AE503" i="19"/>
  <c r="AE504" i="19"/>
  <c r="AE505" i="19"/>
  <c r="AE506" i="19"/>
  <c r="AE507" i="19"/>
  <c r="AE508" i="19"/>
  <c r="AE509" i="19"/>
  <c r="AE510" i="19"/>
  <c r="AE511" i="19"/>
  <c r="AE512" i="19"/>
  <c r="AE513" i="19"/>
  <c r="AE514" i="19"/>
  <c r="AE515" i="19"/>
  <c r="AE516" i="19"/>
  <c r="AE517" i="19"/>
  <c r="AE518" i="19"/>
  <c r="AE519" i="19"/>
  <c r="AE520" i="19"/>
  <c r="AE521" i="19"/>
  <c r="AE522" i="19"/>
  <c r="AE523" i="19"/>
  <c r="AE524" i="19"/>
  <c r="AE525" i="19"/>
  <c r="AE526" i="19"/>
  <c r="AE527" i="19"/>
  <c r="AE528" i="19"/>
  <c r="AE529" i="19"/>
  <c r="AE530" i="19"/>
  <c r="AE531" i="19"/>
  <c r="AE532" i="19"/>
  <c r="AE533" i="19"/>
  <c r="AE534" i="19"/>
  <c r="AE535" i="19"/>
  <c r="AE536" i="19"/>
  <c r="AE537" i="19"/>
  <c r="AE538" i="19"/>
  <c r="AE539" i="19"/>
  <c r="AE540" i="19"/>
  <c r="AE541" i="19"/>
  <c r="AE543" i="19"/>
  <c r="AE544" i="19"/>
  <c r="AE545" i="19"/>
  <c r="AE546" i="19"/>
  <c r="AE547" i="19"/>
  <c r="AE548" i="19"/>
  <c r="AE549" i="19"/>
  <c r="AE550" i="19"/>
  <c r="AE551" i="19"/>
  <c r="AE552" i="19"/>
  <c r="AE553" i="19"/>
  <c r="AE554" i="19"/>
  <c r="AE555" i="19"/>
  <c r="AE556" i="19"/>
  <c r="AE557" i="19"/>
  <c r="AE558" i="19"/>
  <c r="AE559" i="19"/>
  <c r="AE560" i="19"/>
  <c r="AE561" i="19"/>
  <c r="AE562" i="19"/>
  <c r="AE563" i="19"/>
  <c r="AE564" i="19"/>
  <c r="AE565" i="19"/>
  <c r="AE566" i="19"/>
  <c r="AE567" i="19"/>
  <c r="AE568" i="19"/>
  <c r="AE569" i="19"/>
  <c r="AE570" i="19"/>
  <c r="AE571" i="19"/>
  <c r="AE572" i="19"/>
  <c r="AE573" i="19"/>
  <c r="AE578" i="19"/>
  <c r="AE491" i="19"/>
  <c r="AE481" i="19"/>
  <c r="AE480" i="19" l="1"/>
  <c r="D59" i="26" l="1"/>
  <c r="E49" i="26" s="1"/>
  <c r="C58" i="26"/>
  <c r="D55" i="26"/>
  <c r="E48" i="26" s="1"/>
  <c r="C52" i="26"/>
  <c r="D50" i="26"/>
  <c r="D38" i="26"/>
  <c r="D19" i="26"/>
  <c r="D13" i="26"/>
  <c r="D8" i="26"/>
  <c r="F141" i="25"/>
  <c r="E141" i="25"/>
  <c r="D141" i="25"/>
  <c r="C141" i="25"/>
  <c r="F130" i="25"/>
  <c r="E130" i="25"/>
  <c r="D130" i="25"/>
  <c r="C130" i="25"/>
  <c r="G130" i="25" s="1"/>
  <c r="F119" i="25"/>
  <c r="E119" i="25"/>
  <c r="D119" i="25"/>
  <c r="C119" i="25"/>
  <c r="F108" i="25"/>
  <c r="E108" i="25"/>
  <c r="D108" i="25"/>
  <c r="C108" i="25"/>
  <c r="F97" i="25"/>
  <c r="E97" i="25"/>
  <c r="D97" i="25"/>
  <c r="C97" i="25"/>
  <c r="F86" i="25"/>
  <c r="E86" i="25"/>
  <c r="D86" i="25"/>
  <c r="C86" i="25"/>
  <c r="F75" i="25"/>
  <c r="E75" i="25"/>
  <c r="D75" i="25"/>
  <c r="C75" i="25"/>
  <c r="F64" i="25"/>
  <c r="E64" i="25"/>
  <c r="D64" i="25"/>
  <c r="C64" i="25"/>
  <c r="F53" i="25"/>
  <c r="E53" i="25"/>
  <c r="D53" i="25"/>
  <c r="C53" i="25"/>
  <c r="F42" i="25"/>
  <c r="E42" i="25"/>
  <c r="D42" i="25"/>
  <c r="C42" i="25"/>
  <c r="F30" i="25"/>
  <c r="E30" i="25"/>
  <c r="D30" i="25"/>
  <c r="C30" i="25"/>
  <c r="F19" i="25"/>
  <c r="F20" i="25" s="1"/>
  <c r="E19" i="25"/>
  <c r="E20" i="25" s="1"/>
  <c r="E31" i="25" s="1"/>
  <c r="D19" i="25"/>
  <c r="D20" i="25" s="1"/>
  <c r="C19" i="25"/>
  <c r="C21" i="25" s="1"/>
  <c r="G3" i="25"/>
  <c r="H223" i="24"/>
  <c r="F223" i="24"/>
  <c r="E223" i="24"/>
  <c r="D223" i="24"/>
  <c r="C223" i="24"/>
  <c r="B223" i="24"/>
  <c r="H185" i="24"/>
  <c r="G185" i="24"/>
  <c r="F185" i="24"/>
  <c r="E185" i="24"/>
  <c r="D185" i="24"/>
  <c r="C185" i="24"/>
  <c r="B185" i="24"/>
  <c r="I181" i="24"/>
  <c r="I180" i="24"/>
  <c r="I179" i="24"/>
  <c r="I178" i="24"/>
  <c r="I177" i="24"/>
  <c r="I176" i="24"/>
  <c r="I175" i="24"/>
  <c r="I174" i="24"/>
  <c r="I173" i="24"/>
  <c r="I172" i="24"/>
  <c r="I171" i="24"/>
  <c r="I170" i="24"/>
  <c r="I169" i="24"/>
  <c r="I168" i="24"/>
  <c r="I167" i="24"/>
  <c r="I166" i="24"/>
  <c r="H162" i="24"/>
  <c r="G162" i="24"/>
  <c r="F162" i="24"/>
  <c r="E162" i="24"/>
  <c r="D162" i="24"/>
  <c r="C162" i="24"/>
  <c r="B162" i="24"/>
  <c r="I159" i="24"/>
  <c r="I158" i="24"/>
  <c r="I157" i="24"/>
  <c r="I156" i="24"/>
  <c r="I155" i="24"/>
  <c r="I154" i="24"/>
  <c r="I153" i="24"/>
  <c r="I152" i="24"/>
  <c r="I151" i="24"/>
  <c r="I150" i="24"/>
  <c r="I149" i="24"/>
  <c r="I148" i="24"/>
  <c r="I147" i="24"/>
  <c r="I146" i="24"/>
  <c r="I145" i="24"/>
  <c r="I144" i="24"/>
  <c r="I143" i="24"/>
  <c r="I142" i="24"/>
  <c r="I141" i="24"/>
  <c r="I140" i="24"/>
  <c r="I139" i="24"/>
  <c r="I138" i="24"/>
  <c r="H134" i="24"/>
  <c r="G134" i="24"/>
  <c r="F134" i="24"/>
  <c r="E134" i="24"/>
  <c r="D134" i="24"/>
  <c r="C134" i="24"/>
  <c r="B134" i="24"/>
  <c r="I130" i="24"/>
  <c r="I129" i="24"/>
  <c r="I128" i="24"/>
  <c r="I127" i="24"/>
  <c r="I126" i="24"/>
  <c r="I125" i="24"/>
  <c r="I124" i="24"/>
  <c r="I123" i="24"/>
  <c r="I122" i="24"/>
  <c r="H118" i="24"/>
  <c r="G118" i="24"/>
  <c r="F118" i="24"/>
  <c r="E118" i="24"/>
  <c r="D118" i="24"/>
  <c r="C118" i="24"/>
  <c r="B118" i="24"/>
  <c r="H106" i="24"/>
  <c r="G106" i="24"/>
  <c r="F106" i="24"/>
  <c r="E106" i="24"/>
  <c r="D106" i="24"/>
  <c r="C106" i="24"/>
  <c r="B106" i="24"/>
  <c r="H83" i="24"/>
  <c r="G83" i="24"/>
  <c r="F83" i="24"/>
  <c r="E83" i="24"/>
  <c r="D83" i="24"/>
  <c r="C83" i="24"/>
  <c r="B83" i="24"/>
  <c r="H66" i="24"/>
  <c r="G66" i="24"/>
  <c r="F66" i="24"/>
  <c r="E66" i="24"/>
  <c r="D66" i="24"/>
  <c r="C66" i="24"/>
  <c r="B66" i="24"/>
  <c r="H52" i="24"/>
  <c r="G52" i="24"/>
  <c r="F52" i="24"/>
  <c r="E52" i="24"/>
  <c r="D52" i="24"/>
  <c r="C52" i="24"/>
  <c r="B52" i="24"/>
  <c r="H41" i="24"/>
  <c r="G41" i="24"/>
  <c r="F41" i="24"/>
  <c r="E41" i="24"/>
  <c r="D41" i="24"/>
  <c r="C41" i="24"/>
  <c r="B41" i="24"/>
  <c r="H29" i="24"/>
  <c r="G29" i="24"/>
  <c r="F29" i="24"/>
  <c r="E29" i="24"/>
  <c r="D29" i="24"/>
  <c r="C29" i="24"/>
  <c r="B29" i="24"/>
  <c r="H13" i="24"/>
  <c r="G13" i="24"/>
  <c r="G15" i="24" s="1"/>
  <c r="F13" i="24"/>
  <c r="E13" i="24"/>
  <c r="D13" i="24"/>
  <c r="C13" i="24"/>
  <c r="C14" i="24" s="1"/>
  <c r="B13" i="24"/>
  <c r="B14" i="24" s="1"/>
  <c r="I4" i="24"/>
  <c r="H342" i="23"/>
  <c r="G342" i="23"/>
  <c r="F342" i="23"/>
  <c r="E342" i="23"/>
  <c r="I318" i="23"/>
  <c r="H315" i="23"/>
  <c r="G315" i="23"/>
  <c r="F315" i="23"/>
  <c r="E315" i="23"/>
  <c r="I305" i="23"/>
  <c r="H302" i="23"/>
  <c r="G302" i="23"/>
  <c r="F302" i="23"/>
  <c r="E302" i="23"/>
  <c r="I290" i="23"/>
  <c r="H287" i="23"/>
  <c r="G287" i="23"/>
  <c r="F287" i="23"/>
  <c r="E287" i="23"/>
  <c r="I287" i="23" s="1"/>
  <c r="I260" i="23"/>
  <c r="H257" i="23"/>
  <c r="G257" i="23"/>
  <c r="F257" i="23"/>
  <c r="E257" i="23"/>
  <c r="I212" i="23"/>
  <c r="I211" i="23"/>
  <c r="I210" i="23"/>
  <c r="I209" i="23"/>
  <c r="I208" i="23"/>
  <c r="I207" i="23"/>
  <c r="H204" i="23"/>
  <c r="F204" i="23"/>
  <c r="E204" i="23"/>
  <c r="L137" i="23"/>
  <c r="L136" i="23"/>
  <c r="L133" i="23"/>
  <c r="I129" i="23"/>
  <c r="H126" i="23"/>
  <c r="G126" i="23"/>
  <c r="F126" i="23"/>
  <c r="E126" i="23"/>
  <c r="I121" i="23"/>
  <c r="I120" i="23"/>
  <c r="I119" i="23"/>
  <c r="I118" i="23"/>
  <c r="I117" i="23"/>
  <c r="I116" i="23"/>
  <c r="I115" i="23"/>
  <c r="I114" i="23"/>
  <c r="I113" i="23"/>
  <c r="I112" i="23"/>
  <c r="I111" i="23"/>
  <c r="I110" i="23"/>
  <c r="I109" i="23"/>
  <c r="I108" i="23"/>
  <c r="I107" i="23"/>
  <c r="I106" i="23"/>
  <c r="I105" i="23"/>
  <c r="I104" i="23"/>
  <c r="I103" i="23"/>
  <c r="I102" i="23"/>
  <c r="I101" i="23"/>
  <c r="I100" i="23"/>
  <c r="I99" i="23"/>
  <c r="I98" i="23"/>
  <c r="I97" i="23"/>
  <c r="I96" i="23"/>
  <c r="I95" i="23"/>
  <c r="I94" i="23"/>
  <c r="I93" i="23"/>
  <c r="I92" i="23"/>
  <c r="I91" i="23"/>
  <c r="I90" i="23"/>
  <c r="I89" i="23"/>
  <c r="I88" i="23"/>
  <c r="I87" i="23"/>
  <c r="N86" i="23"/>
  <c r="I86" i="23"/>
  <c r="I84" i="23"/>
  <c r="I83" i="23"/>
  <c r="I82" i="23"/>
  <c r="L81" i="23"/>
  <c r="I81" i="23"/>
  <c r="I80" i="23"/>
  <c r="H77" i="23"/>
  <c r="G77" i="23"/>
  <c r="F77" i="23"/>
  <c r="E77" i="23"/>
  <c r="I71" i="23"/>
  <c r="I70" i="23"/>
  <c r="L69" i="23"/>
  <c r="I69" i="23"/>
  <c r="N68" i="23"/>
  <c r="I68" i="23"/>
  <c r="N67" i="23"/>
  <c r="I67" i="23"/>
  <c r="I66" i="23"/>
  <c r="I65" i="23"/>
  <c r="I64" i="23"/>
  <c r="I63" i="23"/>
  <c r="H60" i="23"/>
  <c r="G60" i="23"/>
  <c r="F60" i="23"/>
  <c r="E60" i="23"/>
  <c r="I51" i="23"/>
  <c r="H48" i="23"/>
  <c r="G48" i="23"/>
  <c r="F48" i="23"/>
  <c r="E48" i="23"/>
  <c r="I47" i="23"/>
  <c r="I46" i="23"/>
  <c r="I45" i="23"/>
  <c r="I44" i="23"/>
  <c r="I43" i="23"/>
  <c r="I42" i="23"/>
  <c r="I41" i="23"/>
  <c r="I40" i="23"/>
  <c r="I39" i="23"/>
  <c r="I38" i="23"/>
  <c r="I37" i="23"/>
  <c r="I36" i="23"/>
  <c r="I35" i="23"/>
  <c r="I34" i="23"/>
  <c r="I33" i="23"/>
  <c r="I32" i="23"/>
  <c r="I31" i="23"/>
  <c r="I29" i="23"/>
  <c r="H26" i="23"/>
  <c r="G26" i="23"/>
  <c r="F26" i="23"/>
  <c r="E26" i="23"/>
  <c r="L20" i="23"/>
  <c r="N19" i="23"/>
  <c r="I18" i="23"/>
  <c r="H16" i="23"/>
  <c r="G16" i="23"/>
  <c r="F16" i="23"/>
  <c r="H15" i="23"/>
  <c r="H17" i="23" s="1"/>
  <c r="G15" i="23"/>
  <c r="G17" i="23" s="1"/>
  <c r="F15" i="23"/>
  <c r="F17" i="23" s="1"/>
  <c r="F28" i="23" s="1"/>
  <c r="E15" i="23"/>
  <c r="E17" i="23" s="1"/>
  <c r="E28" i="23" s="1"/>
  <c r="I6" i="23"/>
  <c r="I4" i="23"/>
  <c r="I3" i="23"/>
  <c r="K133" i="22"/>
  <c r="J133" i="22"/>
  <c r="I133" i="22"/>
  <c r="H133" i="22"/>
  <c r="G133" i="22"/>
  <c r="F133" i="22"/>
  <c r="D133" i="22"/>
  <c r="C133" i="22"/>
  <c r="B133" i="22"/>
  <c r="K122" i="22"/>
  <c r="J122" i="22"/>
  <c r="I122" i="22"/>
  <c r="H122" i="22"/>
  <c r="G122" i="22"/>
  <c r="F122" i="22"/>
  <c r="D122" i="22"/>
  <c r="C122" i="22"/>
  <c r="B122" i="22"/>
  <c r="L119" i="22"/>
  <c r="L118" i="22"/>
  <c r="L117" i="22"/>
  <c r="L116" i="22"/>
  <c r="L115" i="22"/>
  <c r="K111" i="22"/>
  <c r="J111" i="22"/>
  <c r="I111" i="22"/>
  <c r="H111" i="22"/>
  <c r="G111" i="22"/>
  <c r="F111" i="22"/>
  <c r="D111" i="22"/>
  <c r="C111" i="22"/>
  <c r="B111" i="22"/>
  <c r="K100" i="22"/>
  <c r="J100" i="22"/>
  <c r="I100" i="22"/>
  <c r="H100" i="22"/>
  <c r="G100" i="22"/>
  <c r="F100" i="22"/>
  <c r="D100" i="22"/>
  <c r="C100" i="22"/>
  <c r="B100" i="22"/>
  <c r="K89" i="22"/>
  <c r="J89" i="22"/>
  <c r="I89" i="22"/>
  <c r="H89" i="22"/>
  <c r="G89" i="22"/>
  <c r="F89" i="22"/>
  <c r="D89" i="22"/>
  <c r="C89" i="22"/>
  <c r="B89" i="22"/>
  <c r="K81" i="22"/>
  <c r="J81" i="22"/>
  <c r="I81" i="22"/>
  <c r="H81" i="22"/>
  <c r="G81" i="22"/>
  <c r="F81" i="22"/>
  <c r="D81" i="22"/>
  <c r="C81" i="22"/>
  <c r="B81" i="22"/>
  <c r="K70" i="22"/>
  <c r="J70" i="22"/>
  <c r="I70" i="22"/>
  <c r="H70" i="22"/>
  <c r="G70" i="22"/>
  <c r="F70" i="22"/>
  <c r="D70" i="22"/>
  <c r="C70" i="22"/>
  <c r="B70" i="22"/>
  <c r="K59" i="22"/>
  <c r="J59" i="22"/>
  <c r="I59" i="22"/>
  <c r="H59" i="22"/>
  <c r="G59" i="22"/>
  <c r="F59" i="22"/>
  <c r="D59" i="22"/>
  <c r="C59" i="22"/>
  <c r="B59" i="22"/>
  <c r="K48" i="22"/>
  <c r="J48" i="22"/>
  <c r="I48" i="22"/>
  <c r="H48" i="22"/>
  <c r="G48" i="22"/>
  <c r="F48" i="22"/>
  <c r="D48" i="22"/>
  <c r="C48" i="22"/>
  <c r="B48" i="22"/>
  <c r="K37" i="22"/>
  <c r="J37" i="22"/>
  <c r="I37" i="22"/>
  <c r="H37" i="22"/>
  <c r="G37" i="22"/>
  <c r="F37" i="22"/>
  <c r="D37" i="22"/>
  <c r="C37" i="22"/>
  <c r="B37" i="22"/>
  <c r="K26" i="22"/>
  <c r="J26" i="22"/>
  <c r="I26" i="22"/>
  <c r="H26" i="22"/>
  <c r="G26" i="22"/>
  <c r="F26" i="22"/>
  <c r="D26" i="22"/>
  <c r="C26" i="22"/>
  <c r="B26" i="22"/>
  <c r="K15" i="22"/>
  <c r="K16" i="22" s="1"/>
  <c r="J15" i="22"/>
  <c r="J16" i="22" s="1"/>
  <c r="I15" i="22"/>
  <c r="I16" i="22" s="1"/>
  <c r="H15" i="22"/>
  <c r="H16" i="22" s="1"/>
  <c r="G15" i="22"/>
  <c r="G17" i="22" s="1"/>
  <c r="F15" i="22"/>
  <c r="F17" i="22" s="1"/>
  <c r="F28" i="22" s="1"/>
  <c r="D15" i="22"/>
  <c r="C15" i="22"/>
  <c r="B15" i="22"/>
  <c r="B16" i="22" s="1"/>
  <c r="L4" i="22"/>
  <c r="H279" i="21"/>
  <c r="G279" i="21"/>
  <c r="F279" i="21"/>
  <c r="E279" i="21"/>
  <c r="D279" i="21"/>
  <c r="C279" i="21"/>
  <c r="B279" i="21"/>
  <c r="I255" i="21"/>
  <c r="H252" i="21"/>
  <c r="G252" i="21"/>
  <c r="F252" i="21"/>
  <c r="E252" i="21"/>
  <c r="D252" i="21"/>
  <c r="C252" i="21"/>
  <c r="B252" i="21"/>
  <c r="I250" i="21"/>
  <c r="I249" i="21"/>
  <c r="I248" i="21"/>
  <c r="I247" i="21"/>
  <c r="I246" i="21"/>
  <c r="I245" i="21"/>
  <c r="I244" i="21"/>
  <c r="I243" i="21"/>
  <c r="I242" i="21"/>
  <c r="I241" i="21"/>
  <c r="I240" i="21"/>
  <c r="I239" i="21"/>
  <c r="I238" i="21"/>
  <c r="I237" i="21"/>
  <c r="I236" i="21"/>
  <c r="I235" i="21"/>
  <c r="I234" i="21"/>
  <c r="I233" i="21"/>
  <c r="I232" i="21"/>
  <c r="I231" i="21"/>
  <c r="H227" i="21"/>
  <c r="G227" i="21"/>
  <c r="F227" i="21"/>
  <c r="E227" i="21"/>
  <c r="D227" i="21"/>
  <c r="C227" i="21"/>
  <c r="B227" i="21"/>
  <c r="I219" i="21"/>
  <c r="I218" i="21"/>
  <c r="I217" i="21"/>
  <c r="I216" i="21"/>
  <c r="I215" i="21"/>
  <c r="I214" i="21"/>
  <c r="I213" i="21"/>
  <c r="I212" i="21"/>
  <c r="I211" i="21"/>
  <c r="I210" i="21"/>
  <c r="I209" i="21"/>
  <c r="I208" i="21"/>
  <c r="I207" i="21"/>
  <c r="I206" i="21"/>
  <c r="I205" i="21"/>
  <c r="H202" i="21"/>
  <c r="G202" i="21"/>
  <c r="F202" i="21"/>
  <c r="E202" i="21"/>
  <c r="D202" i="21"/>
  <c r="C202" i="21"/>
  <c r="B202" i="21"/>
  <c r="I199" i="21"/>
  <c r="I198" i="21"/>
  <c r="I197" i="21"/>
  <c r="I196" i="21"/>
  <c r="I195" i="21"/>
  <c r="I194" i="21"/>
  <c r="I193" i="21"/>
  <c r="I192" i="21"/>
  <c r="I191" i="21"/>
  <c r="I190" i="21"/>
  <c r="I189" i="21"/>
  <c r="I188" i="21"/>
  <c r="I187" i="21"/>
  <c r="I186" i="21"/>
  <c r="I185" i="21"/>
  <c r="I184" i="21"/>
  <c r="H180" i="21"/>
  <c r="G180" i="21"/>
  <c r="F180" i="21"/>
  <c r="E180" i="21"/>
  <c r="D180" i="21"/>
  <c r="C180" i="21"/>
  <c r="B180" i="21"/>
  <c r="I180" i="21" s="1"/>
  <c r="I174" i="21"/>
  <c r="I173" i="21"/>
  <c r="I172" i="21"/>
  <c r="I171" i="21"/>
  <c r="I170" i="21"/>
  <c r="I169" i="21"/>
  <c r="I168" i="21"/>
  <c r="I167" i="21"/>
  <c r="I166" i="21"/>
  <c r="I165" i="21"/>
  <c r="I164" i="21"/>
  <c r="I163" i="21"/>
  <c r="I162" i="21"/>
  <c r="I161" i="21"/>
  <c r="I160" i="21"/>
  <c r="I159" i="21"/>
  <c r="I158" i="21"/>
  <c r="I157" i="21"/>
  <c r="H153" i="21"/>
  <c r="G153" i="21"/>
  <c r="F153" i="21"/>
  <c r="E153" i="21"/>
  <c r="D153" i="21"/>
  <c r="C153" i="21"/>
  <c r="B153" i="21"/>
  <c r="H131" i="21"/>
  <c r="G131" i="21"/>
  <c r="F131" i="21"/>
  <c r="E131" i="21"/>
  <c r="D131" i="21"/>
  <c r="C131" i="21"/>
  <c r="B131" i="21"/>
  <c r="I118" i="21"/>
  <c r="I117" i="21"/>
  <c r="I116" i="21"/>
  <c r="I115" i="21"/>
  <c r="I114" i="21"/>
  <c r="I113" i="21"/>
  <c r="I112" i="21"/>
  <c r="I111" i="21"/>
  <c r="I110" i="21"/>
  <c r="I109" i="21"/>
  <c r="I108" i="21"/>
  <c r="I107" i="21"/>
  <c r="I106" i="21"/>
  <c r="I105" i="21"/>
  <c r="I104" i="21"/>
  <c r="I103" i="21"/>
  <c r="I102" i="21"/>
  <c r="I101" i="21"/>
  <c r="H97" i="21"/>
  <c r="G97" i="21"/>
  <c r="F97" i="21"/>
  <c r="E97" i="21"/>
  <c r="D97" i="21"/>
  <c r="C97" i="21"/>
  <c r="B97" i="21"/>
  <c r="I95" i="21"/>
  <c r="I94" i="21"/>
  <c r="I93" i="21"/>
  <c r="I92" i="21"/>
  <c r="I91" i="21"/>
  <c r="I90" i="21"/>
  <c r="I89" i="21"/>
  <c r="I88" i="21"/>
  <c r="I87" i="21"/>
  <c r="I86" i="21"/>
  <c r="I85" i="21"/>
  <c r="I84" i="21"/>
  <c r="I83" i="21"/>
  <c r="I82" i="21"/>
  <c r="I81" i="21"/>
  <c r="H77" i="21"/>
  <c r="G77" i="21"/>
  <c r="F77" i="21"/>
  <c r="E77" i="21"/>
  <c r="D77" i="21"/>
  <c r="C77" i="21"/>
  <c r="B77" i="21"/>
  <c r="I76" i="21"/>
  <c r="I75" i="21"/>
  <c r="I74" i="21"/>
  <c r="I73" i="21"/>
  <c r="I72" i="21"/>
  <c r="I71" i="21"/>
  <c r="I70" i="21"/>
  <c r="I69" i="21"/>
  <c r="I68" i="21"/>
  <c r="I67" i="21"/>
  <c r="I66" i="21"/>
  <c r="I65" i="21"/>
  <c r="I64" i="21"/>
  <c r="I63" i="21"/>
  <c r="I62" i="21"/>
  <c r="I61" i="21"/>
  <c r="I60" i="21"/>
  <c r="I59" i="21"/>
  <c r="I58" i="21"/>
  <c r="I57" i="21"/>
  <c r="I55" i="21"/>
  <c r="I54" i="21"/>
  <c r="H51" i="21"/>
  <c r="G51" i="21"/>
  <c r="F51" i="21"/>
  <c r="E51" i="21"/>
  <c r="D51" i="21"/>
  <c r="C51" i="21"/>
  <c r="B51" i="21"/>
  <c r="I50" i="21"/>
  <c r="I49" i="21"/>
  <c r="I48" i="21"/>
  <c r="I47" i="21"/>
  <c r="I46" i="21"/>
  <c r="I45" i="21"/>
  <c r="I44" i="21"/>
  <c r="I43" i="21"/>
  <c r="I42" i="21"/>
  <c r="I41" i="21"/>
  <c r="I40" i="21"/>
  <c r="I39" i="21"/>
  <c r="I38" i="21"/>
  <c r="I37" i="21"/>
  <c r="I36" i="21"/>
  <c r="H33" i="21"/>
  <c r="G33" i="21"/>
  <c r="F33" i="21"/>
  <c r="E33" i="21"/>
  <c r="D33" i="21"/>
  <c r="C33" i="21"/>
  <c r="B33" i="21"/>
  <c r="I32" i="21"/>
  <c r="I31" i="21"/>
  <c r="I30" i="21"/>
  <c r="I29" i="21"/>
  <c r="I28" i="21"/>
  <c r="I27" i="21"/>
  <c r="I26" i="21"/>
  <c r="I25" i="21"/>
  <c r="I20" i="21"/>
  <c r="I19" i="21"/>
  <c r="H15" i="21"/>
  <c r="H16" i="21" s="1"/>
  <c r="G15" i="21"/>
  <c r="G16" i="21" s="1"/>
  <c r="F15" i="21"/>
  <c r="F16" i="21" s="1"/>
  <c r="E15" i="21"/>
  <c r="E16" i="21" s="1"/>
  <c r="D15" i="21"/>
  <c r="D16" i="21" s="1"/>
  <c r="C15" i="21"/>
  <c r="C16" i="21" s="1"/>
  <c r="C34" i="21" s="1"/>
  <c r="B15" i="21"/>
  <c r="B16" i="21" s="1"/>
  <c r="I14" i="21"/>
  <c r="I13" i="21"/>
  <c r="I7" i="21"/>
  <c r="H4" i="21"/>
  <c r="G4" i="21"/>
  <c r="F4" i="21"/>
  <c r="E4" i="21"/>
  <c r="D4" i="21"/>
  <c r="C4" i="21"/>
  <c r="B4" i="21"/>
  <c r="I3" i="21"/>
  <c r="J239" i="20"/>
  <c r="I239" i="20"/>
  <c r="H239" i="20"/>
  <c r="G239" i="20"/>
  <c r="F239" i="20"/>
  <c r="E239" i="20"/>
  <c r="C239" i="20"/>
  <c r="B239" i="20"/>
  <c r="J212" i="20"/>
  <c r="I212" i="20"/>
  <c r="H212" i="20"/>
  <c r="G212" i="20"/>
  <c r="F212" i="20"/>
  <c r="E212" i="20"/>
  <c r="C212" i="20"/>
  <c r="B212" i="20"/>
  <c r="K209" i="20"/>
  <c r="K208" i="20"/>
  <c r="K207" i="20"/>
  <c r="K206" i="20"/>
  <c r="K205" i="20"/>
  <c r="K204" i="20"/>
  <c r="K203" i="20"/>
  <c r="K202" i="20"/>
  <c r="K201" i="20"/>
  <c r="K200" i="20"/>
  <c r="K199" i="20"/>
  <c r="K198" i="20"/>
  <c r="J194" i="20"/>
  <c r="I194" i="20"/>
  <c r="H194" i="20"/>
  <c r="G194" i="20"/>
  <c r="F194" i="20"/>
  <c r="E194" i="20"/>
  <c r="C194" i="20"/>
  <c r="B194" i="20"/>
  <c r="K186" i="20"/>
  <c r="K185" i="20"/>
  <c r="K184" i="20"/>
  <c r="K183" i="20"/>
  <c r="K182" i="20"/>
  <c r="K181" i="20"/>
  <c r="K180" i="20"/>
  <c r="K179" i="20"/>
  <c r="K178" i="20"/>
  <c r="K177" i="20"/>
  <c r="K176" i="20"/>
  <c r="J172" i="20"/>
  <c r="I172" i="20"/>
  <c r="H172" i="20"/>
  <c r="G172" i="20"/>
  <c r="F172" i="20"/>
  <c r="E172" i="20"/>
  <c r="C172" i="20"/>
  <c r="B172" i="20"/>
  <c r="K170" i="20"/>
  <c r="K169" i="20"/>
  <c r="K168" i="20"/>
  <c r="K167" i="20"/>
  <c r="K166" i="20"/>
  <c r="K165" i="20"/>
  <c r="K164" i="20"/>
  <c r="K163" i="20"/>
  <c r="K162" i="20"/>
  <c r="K161" i="20"/>
  <c r="K160" i="20"/>
  <c r="K159" i="20"/>
  <c r="K158" i="20"/>
  <c r="K157" i="20"/>
  <c r="K156" i="20"/>
  <c r="J153" i="20"/>
  <c r="I153" i="20"/>
  <c r="H153" i="20"/>
  <c r="G153" i="20"/>
  <c r="F153" i="20"/>
  <c r="E153" i="20"/>
  <c r="C153" i="20"/>
  <c r="B153" i="20"/>
  <c r="J130" i="20"/>
  <c r="I130" i="20"/>
  <c r="H130" i="20"/>
  <c r="G130" i="20"/>
  <c r="F130" i="20"/>
  <c r="E130" i="20"/>
  <c r="C130" i="20"/>
  <c r="B130" i="20"/>
  <c r="J116" i="20"/>
  <c r="I116" i="20"/>
  <c r="H116" i="20"/>
  <c r="G116" i="20"/>
  <c r="F116" i="20"/>
  <c r="E116" i="20"/>
  <c r="C116" i="20"/>
  <c r="B116" i="20"/>
  <c r="K115" i="20"/>
  <c r="K114" i="20"/>
  <c r="K113" i="20"/>
  <c r="K112" i="20"/>
  <c r="K111" i="20"/>
  <c r="K110" i="20"/>
  <c r="K109" i="20"/>
  <c r="K108" i="20"/>
  <c r="K107" i="20"/>
  <c r="K106" i="20"/>
  <c r="K105" i="20"/>
  <c r="K104" i="20"/>
  <c r="K103" i="20"/>
  <c r="K102" i="20"/>
  <c r="K101" i="20"/>
  <c r="K100" i="20"/>
  <c r="K99" i="20"/>
  <c r="K98" i="20"/>
  <c r="K97" i="20"/>
  <c r="K96" i="20"/>
  <c r="K95" i="20"/>
  <c r="K94" i="20"/>
  <c r="J90" i="20"/>
  <c r="I90" i="20"/>
  <c r="H90" i="20"/>
  <c r="G90" i="20"/>
  <c r="F90" i="20"/>
  <c r="E90" i="20"/>
  <c r="C90" i="20"/>
  <c r="B90" i="20"/>
  <c r="K88" i="20"/>
  <c r="K87" i="20"/>
  <c r="K86" i="20"/>
  <c r="K85" i="20"/>
  <c r="K84" i="20"/>
  <c r="K83" i="20"/>
  <c r="K82" i="20"/>
  <c r="K81" i="20"/>
  <c r="K80" i="20"/>
  <c r="K79" i="20"/>
  <c r="K78" i="20"/>
  <c r="K77" i="20"/>
  <c r="J74" i="20"/>
  <c r="I74" i="20"/>
  <c r="H74" i="20"/>
  <c r="G74" i="20"/>
  <c r="F74" i="20"/>
  <c r="E74" i="20"/>
  <c r="C74" i="20"/>
  <c r="B74" i="20"/>
  <c r="K73" i="20"/>
  <c r="K72" i="20"/>
  <c r="K71" i="20"/>
  <c r="K70" i="20"/>
  <c r="K69" i="20"/>
  <c r="K68" i="20"/>
  <c r="K67" i="20"/>
  <c r="K66" i="20"/>
  <c r="K65" i="20"/>
  <c r="K64" i="20"/>
  <c r="K63" i="20"/>
  <c r="K62" i="20"/>
  <c r="K61" i="20"/>
  <c r="K60" i="20"/>
  <c r="K59" i="20"/>
  <c r="K58" i="20"/>
  <c r="K57" i="20"/>
  <c r="K56" i="20"/>
  <c r="K55" i="20"/>
  <c r="K54" i="20"/>
  <c r="K53" i="20"/>
  <c r="J50" i="20"/>
  <c r="I50" i="20"/>
  <c r="H50" i="20"/>
  <c r="G50" i="20"/>
  <c r="F50" i="20"/>
  <c r="E50" i="20"/>
  <c r="C50" i="20"/>
  <c r="B50" i="20"/>
  <c r="K49" i="20"/>
  <c r="K48" i="20"/>
  <c r="K47" i="20"/>
  <c r="K46" i="20"/>
  <c r="K45" i="20"/>
  <c r="K44" i="20"/>
  <c r="K43" i="20"/>
  <c r="K42" i="20"/>
  <c r="K41" i="20"/>
  <c r="K40" i="20"/>
  <c r="K38" i="20"/>
  <c r="K37" i="20"/>
  <c r="J34" i="20"/>
  <c r="I34" i="20"/>
  <c r="H34" i="20"/>
  <c r="G34" i="20"/>
  <c r="F34" i="20"/>
  <c r="E34" i="20"/>
  <c r="C34" i="20"/>
  <c r="B34" i="20"/>
  <c r="K33" i="20"/>
  <c r="K32" i="20"/>
  <c r="K31" i="20"/>
  <c r="K30" i="20"/>
  <c r="K29" i="20"/>
  <c r="K28" i="20"/>
  <c r="K27" i="20"/>
  <c r="K26" i="20"/>
  <c r="K25" i="20"/>
  <c r="K24" i="20"/>
  <c r="K23" i="20"/>
  <c r="K22" i="20"/>
  <c r="J19" i="20"/>
  <c r="J20" i="20" s="1"/>
  <c r="I19" i="20"/>
  <c r="I20" i="20" s="1"/>
  <c r="H19" i="20"/>
  <c r="H20" i="20" s="1"/>
  <c r="G19" i="20"/>
  <c r="G20" i="20" s="1"/>
  <c r="F19" i="20"/>
  <c r="F20" i="20" s="1"/>
  <c r="F35" i="20" s="1"/>
  <c r="F51" i="20" s="1"/>
  <c r="F75" i="20" s="1"/>
  <c r="E19" i="20"/>
  <c r="E20" i="20" s="1"/>
  <c r="C19" i="20"/>
  <c r="C20" i="20" s="1"/>
  <c r="B19" i="20"/>
  <c r="B20" i="20" s="1"/>
  <c r="K18" i="20"/>
  <c r="J4" i="20"/>
  <c r="G4" i="20"/>
  <c r="F4" i="20"/>
  <c r="E4" i="20"/>
  <c r="C4" i="20"/>
  <c r="B4" i="20"/>
  <c r="K3" i="20"/>
  <c r="AD579" i="19"/>
  <c r="AC579" i="19"/>
  <c r="AB579" i="19"/>
  <c r="Y579" i="19"/>
  <c r="X579" i="19"/>
  <c r="W579" i="19"/>
  <c r="V579" i="19"/>
  <c r="U579" i="19"/>
  <c r="T579" i="19"/>
  <c r="S579" i="19"/>
  <c r="R579" i="19"/>
  <c r="Q579" i="19"/>
  <c r="P579" i="19"/>
  <c r="O579" i="19"/>
  <c r="N579" i="19"/>
  <c r="M579" i="19"/>
  <c r="L579" i="19"/>
  <c r="K579" i="19"/>
  <c r="J579" i="19"/>
  <c r="I579" i="19"/>
  <c r="H579" i="19"/>
  <c r="G579" i="19"/>
  <c r="F579" i="19"/>
  <c r="E579" i="19"/>
  <c r="D579" i="19"/>
  <c r="AD487" i="19"/>
  <c r="AC487" i="19"/>
  <c r="AB487" i="19"/>
  <c r="Y487" i="19"/>
  <c r="X487" i="19"/>
  <c r="W487" i="19"/>
  <c r="V487" i="19"/>
  <c r="U487" i="19"/>
  <c r="T487" i="19"/>
  <c r="S487" i="19"/>
  <c r="R487" i="19"/>
  <c r="Q487" i="19"/>
  <c r="P487" i="19"/>
  <c r="O487" i="19"/>
  <c r="N487" i="19"/>
  <c r="M487" i="19"/>
  <c r="L487" i="19"/>
  <c r="K487" i="19"/>
  <c r="J487" i="19"/>
  <c r="I487" i="19"/>
  <c r="H487" i="19"/>
  <c r="G487" i="19"/>
  <c r="F487" i="19"/>
  <c r="E487" i="19"/>
  <c r="D487" i="19"/>
  <c r="C487" i="19"/>
  <c r="B487" i="19"/>
  <c r="AE486" i="19"/>
  <c r="AE479" i="19"/>
  <c r="AE478" i="19"/>
  <c r="AE477" i="19"/>
  <c r="AE476" i="19"/>
  <c r="AE475" i="19"/>
  <c r="AE474" i="19"/>
  <c r="AE473" i="19"/>
  <c r="AE472" i="19"/>
  <c r="AE471" i="19"/>
  <c r="AE470" i="19"/>
  <c r="AE469" i="19"/>
  <c r="AE468" i="19"/>
  <c r="AE467" i="19"/>
  <c r="AE466" i="19"/>
  <c r="AE465" i="19"/>
  <c r="AE464" i="19"/>
  <c r="AE463" i="19"/>
  <c r="AE462" i="19"/>
  <c r="AE461" i="19"/>
  <c r="AE460" i="19"/>
  <c r="AE459" i="19"/>
  <c r="AE458" i="19"/>
  <c r="AE457" i="19"/>
  <c r="AE456" i="19"/>
  <c r="AE455" i="19"/>
  <c r="AE454" i="19"/>
  <c r="AE453" i="19"/>
  <c r="AE452" i="19"/>
  <c r="AE451" i="19"/>
  <c r="AE450" i="19"/>
  <c r="AE449" i="19"/>
  <c r="AE448" i="19"/>
  <c r="AE447" i="19"/>
  <c r="AE446" i="19"/>
  <c r="AE445" i="19"/>
  <c r="AE444" i="19"/>
  <c r="AE443" i="19"/>
  <c r="AE442" i="19"/>
  <c r="AE441" i="19"/>
  <c r="AE440" i="19"/>
  <c r="AE439" i="19"/>
  <c r="AE438" i="19"/>
  <c r="AE437" i="19"/>
  <c r="AE436" i="19"/>
  <c r="AE435" i="19"/>
  <c r="AE434" i="19"/>
  <c r="AE433" i="19"/>
  <c r="AE432" i="19"/>
  <c r="AE431" i="19"/>
  <c r="AE430" i="19"/>
  <c r="AE429" i="19"/>
  <c r="AE428" i="19"/>
  <c r="AD424" i="19"/>
  <c r="AC424" i="19"/>
  <c r="AB424" i="19"/>
  <c r="Y424" i="19"/>
  <c r="X424" i="19"/>
  <c r="W424" i="19"/>
  <c r="V424" i="19"/>
  <c r="U424" i="19"/>
  <c r="T424" i="19"/>
  <c r="S424" i="19"/>
  <c r="R424" i="19"/>
  <c r="Q424" i="19"/>
  <c r="P424" i="19"/>
  <c r="O424" i="19"/>
  <c r="N424" i="19"/>
  <c r="M424" i="19"/>
  <c r="L424" i="19"/>
  <c r="K424" i="19"/>
  <c r="J424" i="19"/>
  <c r="I424" i="19"/>
  <c r="H424" i="19"/>
  <c r="G424" i="19"/>
  <c r="F424" i="19"/>
  <c r="E424" i="19"/>
  <c r="D424" i="19"/>
  <c r="C424" i="19"/>
  <c r="B424" i="19"/>
  <c r="AE423" i="19"/>
  <c r="AE422" i="19"/>
  <c r="AE421" i="19"/>
  <c r="AE420" i="19"/>
  <c r="AE419" i="19"/>
  <c r="AE418" i="19"/>
  <c r="AE417" i="19"/>
  <c r="AE416" i="19"/>
  <c r="AE415" i="19"/>
  <c r="AE414" i="19"/>
  <c r="AE413" i="19"/>
  <c r="AE412" i="19"/>
  <c r="AE411" i="19"/>
  <c r="AE410" i="19"/>
  <c r="AE409" i="19"/>
  <c r="AE408" i="19"/>
  <c r="AE407" i="19"/>
  <c r="AE406" i="19"/>
  <c r="AE405" i="19"/>
  <c r="AE404" i="19"/>
  <c r="AE403" i="19"/>
  <c r="AE402" i="19"/>
  <c r="AE401" i="19"/>
  <c r="AE400" i="19"/>
  <c r="AE399" i="19"/>
  <c r="AE398" i="19"/>
  <c r="AE397" i="19"/>
  <c r="AE396" i="19"/>
  <c r="AE395" i="19"/>
  <c r="AE394" i="19"/>
  <c r="AE393" i="19"/>
  <c r="AE392" i="19"/>
  <c r="AE391" i="19"/>
  <c r="AE390" i="19"/>
  <c r="AE389" i="19"/>
  <c r="AE388" i="19"/>
  <c r="AE387" i="19"/>
  <c r="AE386" i="19"/>
  <c r="AD382" i="19"/>
  <c r="AC382" i="19"/>
  <c r="AB382" i="19"/>
  <c r="Y382" i="19"/>
  <c r="X382" i="19"/>
  <c r="W382" i="19"/>
  <c r="V382" i="19"/>
  <c r="U382" i="19"/>
  <c r="T382" i="19"/>
  <c r="S382" i="19"/>
  <c r="R382" i="19"/>
  <c r="Q382" i="19"/>
  <c r="P382" i="19"/>
  <c r="O382" i="19"/>
  <c r="N382" i="19"/>
  <c r="M382" i="19"/>
  <c r="L382" i="19"/>
  <c r="K382" i="19"/>
  <c r="J382" i="19"/>
  <c r="I382" i="19"/>
  <c r="H382" i="19"/>
  <c r="G382" i="19"/>
  <c r="F382" i="19"/>
  <c r="E382" i="19"/>
  <c r="D382" i="19"/>
  <c r="C382" i="19"/>
  <c r="B382" i="19"/>
  <c r="AE375" i="19"/>
  <c r="AE374" i="19"/>
  <c r="AE373" i="19"/>
  <c r="AE372" i="19"/>
  <c r="AE371" i="19"/>
  <c r="AE370" i="19"/>
  <c r="AE369" i="19"/>
  <c r="AE368" i="19"/>
  <c r="AE367" i="19"/>
  <c r="AE366" i="19"/>
  <c r="AE365" i="19"/>
  <c r="AE364" i="19"/>
  <c r="AE363" i="19"/>
  <c r="AE362" i="19"/>
  <c r="AE361" i="19"/>
  <c r="AE360" i="19"/>
  <c r="AE359" i="19"/>
  <c r="AE358" i="19"/>
  <c r="AE357" i="19"/>
  <c r="AE356" i="19"/>
  <c r="AE355" i="19"/>
  <c r="AE354" i="19"/>
  <c r="AE353" i="19"/>
  <c r="AE352" i="19"/>
  <c r="AE351" i="19"/>
  <c r="AE350" i="19"/>
  <c r="AE349" i="19"/>
  <c r="AE348" i="19"/>
  <c r="AE347" i="19"/>
  <c r="AE346" i="19"/>
  <c r="AE345" i="19"/>
  <c r="AE344" i="19"/>
  <c r="AE343" i="19"/>
  <c r="AE342" i="19"/>
  <c r="AE341" i="19"/>
  <c r="AE340" i="19"/>
  <c r="AE339" i="19"/>
  <c r="AE338" i="19"/>
  <c r="AE337" i="19"/>
  <c r="AE336" i="19"/>
  <c r="AE335" i="19"/>
  <c r="AD331" i="19"/>
  <c r="AC331" i="19"/>
  <c r="AB331" i="19"/>
  <c r="Y331" i="19"/>
  <c r="X331" i="19"/>
  <c r="W331" i="19"/>
  <c r="V331" i="19"/>
  <c r="U331" i="19"/>
  <c r="T331" i="19"/>
  <c r="S331" i="19"/>
  <c r="R331" i="19"/>
  <c r="Q331" i="19"/>
  <c r="P331" i="19"/>
  <c r="O331" i="19"/>
  <c r="N331" i="19"/>
  <c r="M331" i="19"/>
  <c r="L331" i="19"/>
  <c r="K331" i="19"/>
  <c r="J331" i="19"/>
  <c r="I331" i="19"/>
  <c r="H331" i="19"/>
  <c r="G331" i="19"/>
  <c r="F331" i="19"/>
  <c r="E331" i="19"/>
  <c r="D331" i="19"/>
  <c r="C331" i="19"/>
  <c r="B331" i="19"/>
  <c r="AE330" i="19"/>
  <c r="AE329" i="19"/>
  <c r="AE328" i="19"/>
  <c r="AE327" i="19"/>
  <c r="AE326" i="19"/>
  <c r="AE325" i="19"/>
  <c r="AE324" i="19"/>
  <c r="AE323" i="19"/>
  <c r="AE322" i="19"/>
  <c r="AE321" i="19"/>
  <c r="AE320" i="19"/>
  <c r="AE319" i="19"/>
  <c r="AE318" i="19"/>
  <c r="AE317" i="19"/>
  <c r="AE316" i="19"/>
  <c r="AE315" i="19"/>
  <c r="AE314" i="19"/>
  <c r="AE313" i="19"/>
  <c r="AE312" i="19"/>
  <c r="AE311" i="19"/>
  <c r="AE310" i="19"/>
  <c r="AE309" i="19"/>
  <c r="AE308" i="19"/>
  <c r="AE307" i="19"/>
  <c r="AE306" i="19"/>
  <c r="AE305" i="19"/>
  <c r="AE304" i="19"/>
  <c r="AE303" i="19"/>
  <c r="AE302" i="19"/>
  <c r="AE301" i="19"/>
  <c r="AE300" i="19"/>
  <c r="AE299" i="19"/>
  <c r="AE298" i="19"/>
  <c r="AE297" i="19"/>
  <c r="AE296" i="19"/>
  <c r="AE295" i="19"/>
  <c r="AE294" i="19"/>
  <c r="AE293" i="19"/>
  <c r="AE292" i="19"/>
  <c r="AE291" i="19"/>
  <c r="AE290" i="19"/>
  <c r="AE289" i="19"/>
  <c r="AE288" i="19"/>
  <c r="AE287" i="19"/>
  <c r="AE286" i="19"/>
  <c r="AE285" i="19"/>
  <c r="AE284" i="19"/>
  <c r="AE283" i="19"/>
  <c r="AE282" i="19"/>
  <c r="AE281" i="19"/>
  <c r="AE280" i="19"/>
  <c r="AE279" i="19"/>
  <c r="AD275" i="19"/>
  <c r="AC275" i="19"/>
  <c r="AB275" i="19"/>
  <c r="Y275" i="19"/>
  <c r="X275" i="19"/>
  <c r="W275" i="19"/>
  <c r="V275" i="19"/>
  <c r="U275" i="19"/>
  <c r="T275" i="19"/>
  <c r="S275" i="19"/>
  <c r="R275" i="19"/>
  <c r="Q275" i="19"/>
  <c r="P275" i="19"/>
  <c r="O275" i="19"/>
  <c r="N275" i="19"/>
  <c r="M275" i="19"/>
  <c r="L275" i="19"/>
  <c r="K275" i="19"/>
  <c r="J275" i="19"/>
  <c r="I275" i="19"/>
  <c r="H275" i="19"/>
  <c r="G275" i="19"/>
  <c r="F275" i="19"/>
  <c r="E275" i="19"/>
  <c r="D275" i="19"/>
  <c r="C275" i="19"/>
  <c r="B275" i="19"/>
  <c r="AE274" i="19"/>
  <c r="AE273" i="19"/>
  <c r="AE272" i="19"/>
  <c r="AE271" i="19"/>
  <c r="AE270" i="19"/>
  <c r="AE269" i="19"/>
  <c r="AE268" i="19"/>
  <c r="AE267" i="19"/>
  <c r="AE266" i="19"/>
  <c r="AE265" i="19"/>
  <c r="AE264" i="19"/>
  <c r="AE263" i="19"/>
  <c r="AE262" i="19"/>
  <c r="AE261" i="19"/>
  <c r="AE260" i="19"/>
  <c r="AE259" i="19"/>
  <c r="AE258" i="19"/>
  <c r="AE257" i="19"/>
  <c r="AE256" i="19"/>
  <c r="AE255" i="19"/>
  <c r="AE254" i="19"/>
  <c r="AE253" i="19"/>
  <c r="AE252" i="19"/>
  <c r="AE251" i="19"/>
  <c r="AE250" i="19"/>
  <c r="AE249" i="19"/>
  <c r="AE248" i="19"/>
  <c r="AE247" i="19"/>
  <c r="AE246" i="19"/>
  <c r="AE245" i="19"/>
  <c r="AE244" i="19"/>
  <c r="AE243" i="19"/>
  <c r="AE242" i="19"/>
  <c r="AE241" i="19"/>
  <c r="AE240" i="19"/>
  <c r="AE239" i="19"/>
  <c r="AE238" i="19"/>
  <c r="AE237" i="19"/>
  <c r="AE236" i="19"/>
  <c r="AE235" i="19"/>
  <c r="AE234" i="19"/>
  <c r="AE233" i="19"/>
  <c r="AE232" i="19"/>
  <c r="AD228" i="19"/>
  <c r="AC228" i="19"/>
  <c r="AB228" i="19"/>
  <c r="Y228" i="19"/>
  <c r="X228" i="19"/>
  <c r="W228" i="19"/>
  <c r="V228" i="19"/>
  <c r="U228" i="19"/>
  <c r="T228" i="19"/>
  <c r="S228" i="19"/>
  <c r="R228" i="19"/>
  <c r="Q228" i="19"/>
  <c r="P228" i="19"/>
  <c r="O228" i="19"/>
  <c r="N228" i="19"/>
  <c r="M228" i="19"/>
  <c r="L228" i="19"/>
  <c r="K228" i="19"/>
  <c r="J228" i="19"/>
  <c r="I228" i="19"/>
  <c r="H228" i="19"/>
  <c r="G228" i="19"/>
  <c r="F228" i="19"/>
  <c r="E228" i="19"/>
  <c r="D228" i="19"/>
  <c r="C228" i="19"/>
  <c r="B228" i="19"/>
  <c r="AE227" i="19"/>
  <c r="AE226" i="19"/>
  <c r="AE225" i="19"/>
  <c r="AE224" i="19"/>
  <c r="AE223" i="19"/>
  <c r="AE222" i="19"/>
  <c r="AE221" i="19"/>
  <c r="AE220" i="19"/>
  <c r="AE219" i="19"/>
  <c r="AE218" i="19"/>
  <c r="AE217" i="19"/>
  <c r="AE216" i="19"/>
  <c r="AE215" i="19"/>
  <c r="AE214" i="19"/>
  <c r="AE213" i="19"/>
  <c r="AE212" i="19"/>
  <c r="AE211" i="19"/>
  <c r="AE210" i="19"/>
  <c r="AE209" i="19"/>
  <c r="AE208" i="19"/>
  <c r="AE207" i="19"/>
  <c r="AE206" i="19"/>
  <c r="AE205" i="19"/>
  <c r="AE204" i="19"/>
  <c r="AE203" i="19"/>
  <c r="AE202" i="19"/>
  <c r="AE201" i="19"/>
  <c r="AE200" i="19"/>
  <c r="AE199" i="19"/>
  <c r="AE198" i="19"/>
  <c r="AE197" i="19"/>
  <c r="AE196" i="19"/>
  <c r="AE195" i="19"/>
  <c r="AE194" i="19"/>
  <c r="AE193" i="19"/>
  <c r="AE192" i="19"/>
  <c r="AE191" i="19"/>
  <c r="AE190" i="19"/>
  <c r="AE189" i="19"/>
  <c r="AE188" i="19"/>
  <c r="AE187" i="19"/>
  <c r="AE186" i="19"/>
  <c r="AE185" i="19"/>
  <c r="AE184" i="19"/>
  <c r="AE183" i="19"/>
  <c r="AE182" i="19"/>
  <c r="AE181" i="19"/>
  <c r="AE180" i="19"/>
  <c r="AE179" i="19"/>
  <c r="AE178" i="19"/>
  <c r="AE177" i="19"/>
  <c r="AE176" i="19"/>
  <c r="AD173" i="19"/>
  <c r="AC173" i="19"/>
  <c r="AB173" i="19"/>
  <c r="Y173" i="19"/>
  <c r="X173" i="19"/>
  <c r="W173" i="19"/>
  <c r="V173" i="19"/>
  <c r="U173" i="19"/>
  <c r="T173" i="19"/>
  <c r="S173" i="19"/>
  <c r="R173" i="19"/>
  <c r="Q173" i="19"/>
  <c r="P173" i="19"/>
  <c r="O173" i="19"/>
  <c r="N173" i="19"/>
  <c r="M173" i="19"/>
  <c r="L173" i="19"/>
  <c r="K173" i="19"/>
  <c r="J173" i="19"/>
  <c r="I173" i="19"/>
  <c r="H173" i="19"/>
  <c r="G173" i="19"/>
  <c r="F173" i="19"/>
  <c r="E173" i="19"/>
  <c r="D173" i="19"/>
  <c r="C173" i="19"/>
  <c r="B173" i="19"/>
  <c r="AE172" i="19"/>
  <c r="AE171" i="19"/>
  <c r="AE170" i="19"/>
  <c r="AE169" i="19"/>
  <c r="AE168" i="19"/>
  <c r="AE167" i="19"/>
  <c r="AE166" i="19"/>
  <c r="AE165" i="19"/>
  <c r="AE164" i="19"/>
  <c r="AE163" i="19"/>
  <c r="AE162" i="19"/>
  <c r="AE161" i="19"/>
  <c r="AE160" i="19"/>
  <c r="AE159" i="19"/>
  <c r="AE158" i="19"/>
  <c r="AE157" i="19"/>
  <c r="AE156" i="19"/>
  <c r="AE155" i="19"/>
  <c r="AE154" i="19"/>
  <c r="AE153" i="19"/>
  <c r="AE152" i="19"/>
  <c r="AE151" i="19"/>
  <c r="AE150" i="19"/>
  <c r="AE149" i="19"/>
  <c r="AE148" i="19"/>
  <c r="AE147" i="19"/>
  <c r="AE146" i="19"/>
  <c r="AE145" i="19"/>
  <c r="AE144" i="19"/>
  <c r="AE143" i="19"/>
  <c r="AE142" i="19"/>
  <c r="AE141" i="19"/>
  <c r="AE140" i="19"/>
  <c r="AE139" i="19"/>
  <c r="AE138" i="19"/>
  <c r="AE137" i="19"/>
  <c r="AE136" i="19"/>
  <c r="AE135" i="19"/>
  <c r="AE134" i="19"/>
  <c r="AE133" i="19"/>
  <c r="AE132" i="19"/>
  <c r="AE131" i="19"/>
  <c r="AE130" i="19"/>
  <c r="AE129" i="19"/>
  <c r="AE128" i="19"/>
  <c r="AE127" i="19"/>
  <c r="AD123" i="19"/>
  <c r="AC123" i="19"/>
  <c r="AB123" i="19"/>
  <c r="Y123" i="19"/>
  <c r="X123" i="19"/>
  <c r="W123" i="19"/>
  <c r="V123" i="19"/>
  <c r="U123" i="19"/>
  <c r="T123" i="19"/>
  <c r="S123" i="19"/>
  <c r="R123" i="19"/>
  <c r="Q123" i="19"/>
  <c r="P123" i="19"/>
  <c r="O123" i="19"/>
  <c r="N123" i="19"/>
  <c r="M123" i="19"/>
  <c r="L123" i="19"/>
  <c r="K123" i="19"/>
  <c r="J123" i="19"/>
  <c r="I123" i="19"/>
  <c r="H123" i="19"/>
  <c r="G123" i="19"/>
  <c r="F123" i="19"/>
  <c r="E123" i="19"/>
  <c r="D123" i="19"/>
  <c r="C123" i="19"/>
  <c r="B123" i="19"/>
  <c r="AE122" i="19"/>
  <c r="AE121" i="19"/>
  <c r="AE120" i="19"/>
  <c r="AE119" i="19"/>
  <c r="AE118" i="19"/>
  <c r="AE117" i="19"/>
  <c r="AE116" i="19"/>
  <c r="AE115" i="19"/>
  <c r="AE114" i="19"/>
  <c r="AE113" i="19"/>
  <c r="AE112" i="19"/>
  <c r="AE111" i="19"/>
  <c r="AE110" i="19"/>
  <c r="AE109" i="19"/>
  <c r="AE108" i="19"/>
  <c r="AE107" i="19"/>
  <c r="AE106" i="19"/>
  <c r="AE105" i="19"/>
  <c r="AE104" i="19"/>
  <c r="AE103" i="19"/>
  <c r="AE102" i="19"/>
  <c r="AE101" i="19"/>
  <c r="AE100" i="19"/>
  <c r="AE99" i="19"/>
  <c r="AE98" i="19"/>
  <c r="AE97" i="19"/>
  <c r="AE96" i="19"/>
  <c r="AE95" i="19"/>
  <c r="AE94" i="19"/>
  <c r="AE93" i="19"/>
  <c r="AE92" i="19"/>
  <c r="AE91" i="19"/>
  <c r="AE90" i="19"/>
  <c r="AE89" i="19"/>
  <c r="AE88" i="19"/>
  <c r="AE87" i="19"/>
  <c r="AE86" i="19"/>
  <c r="AE85" i="19"/>
  <c r="AE84" i="19"/>
  <c r="AE83" i="19"/>
  <c r="AE82" i="19"/>
  <c r="AE81" i="19"/>
  <c r="AE80" i="19"/>
  <c r="AD77" i="19"/>
  <c r="AC77" i="19"/>
  <c r="AB77" i="19"/>
  <c r="Y77" i="19"/>
  <c r="X77" i="19"/>
  <c r="W77" i="19"/>
  <c r="V77" i="19"/>
  <c r="U77" i="19"/>
  <c r="T77" i="19"/>
  <c r="S77" i="19"/>
  <c r="R77" i="19"/>
  <c r="Q77" i="19"/>
  <c r="P77" i="19"/>
  <c r="O77" i="19"/>
  <c r="N77" i="19"/>
  <c r="M77" i="19"/>
  <c r="L77" i="19"/>
  <c r="K77" i="19"/>
  <c r="J77" i="19"/>
  <c r="I77" i="19"/>
  <c r="H77" i="19"/>
  <c r="G77" i="19"/>
  <c r="F77" i="19"/>
  <c r="E77" i="19"/>
  <c r="D77" i="19"/>
  <c r="C77" i="19"/>
  <c r="B77" i="19"/>
  <c r="AE76" i="19"/>
  <c r="AE75" i="19"/>
  <c r="AE74" i="19"/>
  <c r="AE73" i="19"/>
  <c r="AE72" i="19"/>
  <c r="AE71" i="19"/>
  <c r="AE70" i="19"/>
  <c r="AE69" i="19"/>
  <c r="AE68" i="19"/>
  <c r="AE67" i="19"/>
  <c r="AE66" i="19"/>
  <c r="AE65" i="19"/>
  <c r="AE64" i="19"/>
  <c r="AE63" i="19"/>
  <c r="AE62" i="19"/>
  <c r="AE61" i="19"/>
  <c r="AE60" i="19"/>
  <c r="AE59" i="19"/>
  <c r="AE58" i="19"/>
  <c r="AE57" i="19"/>
  <c r="AE56" i="19"/>
  <c r="AE55" i="19"/>
  <c r="AE54" i="19"/>
  <c r="AE53" i="19"/>
  <c r="AE52" i="19"/>
  <c r="AE51" i="19"/>
  <c r="AE50" i="19"/>
  <c r="AD47" i="19"/>
  <c r="AC47" i="19"/>
  <c r="AC48" i="19" s="1"/>
  <c r="AB47" i="19"/>
  <c r="Y47" i="19"/>
  <c r="X47" i="19"/>
  <c r="W47" i="19"/>
  <c r="V47" i="19"/>
  <c r="U47" i="19"/>
  <c r="T47" i="19"/>
  <c r="S47" i="19"/>
  <c r="R47" i="19"/>
  <c r="R48" i="19" s="1"/>
  <c r="R78" i="19" s="1"/>
  <c r="Q47" i="19"/>
  <c r="P47" i="19"/>
  <c r="O47" i="19"/>
  <c r="O48" i="19" s="1"/>
  <c r="N47" i="19"/>
  <c r="M47" i="19"/>
  <c r="M48" i="19" s="1"/>
  <c r="L47" i="19"/>
  <c r="K47" i="19"/>
  <c r="J47" i="19"/>
  <c r="I47" i="19"/>
  <c r="H47" i="19"/>
  <c r="G47" i="19"/>
  <c r="G48" i="19" s="1"/>
  <c r="G78" i="19" s="1"/>
  <c r="G124" i="19" s="1"/>
  <c r="G174" i="19" s="1"/>
  <c r="G229" i="19" s="1"/>
  <c r="G276" i="19" s="1"/>
  <c r="G332" i="19" s="1"/>
  <c r="F47" i="19"/>
  <c r="F49" i="19" s="1"/>
  <c r="F79" i="19" s="1"/>
  <c r="E47" i="19"/>
  <c r="D47" i="19"/>
  <c r="D48" i="19" s="1"/>
  <c r="C47" i="19"/>
  <c r="C48" i="19" s="1"/>
  <c r="B47" i="19"/>
  <c r="AE46" i="19"/>
  <c r="AE45" i="19"/>
  <c r="AE44" i="19"/>
  <c r="AE43" i="19"/>
  <c r="AE42" i="19"/>
  <c r="AE41" i="19"/>
  <c r="AE40" i="19"/>
  <c r="AE39" i="19"/>
  <c r="AE38" i="19"/>
  <c r="AE37" i="19"/>
  <c r="AE36" i="19"/>
  <c r="AE35" i="19"/>
  <c r="AE34" i="19"/>
  <c r="AE33" i="19"/>
  <c r="AE32" i="19"/>
  <c r="AE31" i="19"/>
  <c r="AE30" i="19"/>
  <c r="AE29" i="19"/>
  <c r="AD48" i="19"/>
  <c r="AB48" i="19"/>
  <c r="Y48" i="19"/>
  <c r="Y78" i="19" s="1"/>
  <c r="X48" i="19"/>
  <c r="W48" i="19"/>
  <c r="W78" i="19" s="1"/>
  <c r="S48" i="19"/>
  <c r="S78" i="19" s="1"/>
  <c r="S124" i="19" s="1"/>
  <c r="S174" i="19" s="1"/>
  <c r="S229" i="19" s="1"/>
  <c r="S276" i="19" s="1"/>
  <c r="S332" i="19" s="1"/>
  <c r="Q48" i="19"/>
  <c r="Q78" i="19" s="1"/>
  <c r="P48" i="19"/>
  <c r="N48" i="19"/>
  <c r="L48" i="19"/>
  <c r="K49" i="19"/>
  <c r="AD4" i="19"/>
  <c r="AC4" i="19"/>
  <c r="AC19" i="19" s="1"/>
  <c r="W4" i="19"/>
  <c r="W19" i="19" s="1"/>
  <c r="V4" i="19"/>
  <c r="V19" i="19" s="1"/>
  <c r="U4" i="19"/>
  <c r="U19" i="19" s="1"/>
  <c r="T4" i="19"/>
  <c r="T19" i="19" s="1"/>
  <c r="S4" i="19"/>
  <c r="R4" i="19"/>
  <c r="Q4" i="19"/>
  <c r="P4" i="19"/>
  <c r="O4" i="19"/>
  <c r="N4" i="19"/>
  <c r="N19" i="19" s="1"/>
  <c r="M4" i="19"/>
  <c r="M19" i="19" s="1"/>
  <c r="L4" i="19"/>
  <c r="L19" i="19" s="1"/>
  <c r="I4" i="19"/>
  <c r="I19" i="19" s="1"/>
  <c r="D4" i="19"/>
  <c r="C4" i="19"/>
  <c r="B4" i="19"/>
  <c r="B19" i="19" s="1"/>
  <c r="AE3" i="19"/>
  <c r="F267" i="18"/>
  <c r="D267" i="18"/>
  <c r="C267" i="18"/>
  <c r="G266" i="18"/>
  <c r="G241" i="18"/>
  <c r="G240" i="18"/>
  <c r="G239" i="18"/>
  <c r="G238" i="18"/>
  <c r="G237" i="18"/>
  <c r="G236" i="18"/>
  <c r="G235" i="18"/>
  <c r="G234" i="18"/>
  <c r="G233" i="18"/>
  <c r="G232" i="18"/>
  <c r="G231" i="18"/>
  <c r="G230" i="18"/>
  <c r="G229" i="18"/>
  <c r="G228" i="18"/>
  <c r="G227" i="18"/>
  <c r="G225" i="18"/>
  <c r="G224" i="18"/>
  <c r="G223" i="18"/>
  <c r="G222" i="18"/>
  <c r="G221" i="18"/>
  <c r="G220" i="18"/>
  <c r="G219" i="18"/>
  <c r="G218" i="18"/>
  <c r="F215" i="18"/>
  <c r="E215" i="18"/>
  <c r="D215" i="18"/>
  <c r="C215" i="18"/>
  <c r="G214" i="18"/>
  <c r="G213" i="18"/>
  <c r="G212" i="18"/>
  <c r="G211" i="18"/>
  <c r="G210" i="18"/>
  <c r="G209" i="18"/>
  <c r="G208" i="18"/>
  <c r="G207" i="18"/>
  <c r="G206" i="18"/>
  <c r="G205" i="18"/>
  <c r="G204" i="18"/>
  <c r="G203" i="18"/>
  <c r="G202" i="18"/>
  <c r="G201" i="18"/>
  <c r="G200" i="18"/>
  <c r="F197" i="18"/>
  <c r="E197" i="18"/>
  <c r="D197" i="18"/>
  <c r="C197" i="18"/>
  <c r="G196" i="18"/>
  <c r="G195" i="18"/>
  <c r="G194" i="18"/>
  <c r="G193" i="18"/>
  <c r="G192" i="18"/>
  <c r="G191" i="18"/>
  <c r="G190" i="18"/>
  <c r="G189" i="18"/>
  <c r="G188" i="18"/>
  <c r="G187" i="18"/>
  <c r="G186" i="18"/>
  <c r="G185" i="18"/>
  <c r="G184" i="18"/>
  <c r="G183" i="18"/>
  <c r="G182" i="18"/>
  <c r="G181" i="18"/>
  <c r="G180" i="18"/>
  <c r="G179" i="18"/>
  <c r="G178" i="18"/>
  <c r="G177" i="18"/>
  <c r="G176" i="18"/>
  <c r="F173" i="18"/>
  <c r="E173" i="18"/>
  <c r="D173" i="18"/>
  <c r="C173" i="18"/>
  <c r="G172" i="18"/>
  <c r="G171" i="18"/>
  <c r="G170" i="18"/>
  <c r="G169" i="18"/>
  <c r="G168" i="18"/>
  <c r="G167" i="18"/>
  <c r="G166" i="18"/>
  <c r="G165" i="18"/>
  <c r="G164" i="18"/>
  <c r="G163" i="18"/>
  <c r="G162" i="18"/>
  <c r="G161" i="18"/>
  <c r="G160" i="18"/>
  <c r="G159" i="18"/>
  <c r="G158" i="18"/>
  <c r="F155" i="18"/>
  <c r="E155" i="18"/>
  <c r="D155" i="18"/>
  <c r="C155" i="18"/>
  <c r="G154" i="18"/>
  <c r="G153" i="18"/>
  <c r="G152" i="18"/>
  <c r="G151" i="18"/>
  <c r="G150" i="18"/>
  <c r="G149" i="18"/>
  <c r="G148" i="18"/>
  <c r="G147" i="18"/>
  <c r="G146" i="18"/>
  <c r="G145" i="18"/>
  <c r="G144" i="18"/>
  <c r="G143" i="18"/>
  <c r="G142" i="18"/>
  <c r="G141" i="18"/>
  <c r="G140" i="18"/>
  <c r="G139" i="18"/>
  <c r="G138" i="18"/>
  <c r="G137" i="18"/>
  <c r="G136" i="18"/>
  <c r="G135" i="18"/>
  <c r="G134" i="18"/>
  <c r="F131" i="18"/>
  <c r="E131" i="18"/>
  <c r="D131" i="18"/>
  <c r="C131" i="18"/>
  <c r="G130" i="18"/>
  <c r="G129" i="18"/>
  <c r="G128" i="18"/>
  <c r="G127" i="18"/>
  <c r="G126" i="18"/>
  <c r="G125" i="18"/>
  <c r="G124" i="18"/>
  <c r="G123" i="18"/>
  <c r="G122" i="18"/>
  <c r="G121" i="18"/>
  <c r="G120" i="18"/>
  <c r="G119" i="18"/>
  <c r="G118" i="18"/>
  <c r="G117" i="18"/>
  <c r="F114" i="18"/>
  <c r="E114" i="18"/>
  <c r="D114" i="18"/>
  <c r="C114" i="18"/>
  <c r="G113" i="18"/>
  <c r="G112" i="18"/>
  <c r="G111" i="18"/>
  <c r="G110" i="18"/>
  <c r="G109" i="18"/>
  <c r="G108" i="18"/>
  <c r="G107" i="18"/>
  <c r="G106" i="18"/>
  <c r="G105" i="18"/>
  <c r="G104" i="18"/>
  <c r="G103" i="18"/>
  <c r="G102" i="18"/>
  <c r="G101" i="18"/>
  <c r="G100" i="18"/>
  <c r="G99" i="18"/>
  <c r="G98" i="18"/>
  <c r="G97" i="18"/>
  <c r="G96" i="18"/>
  <c r="G95" i="18"/>
  <c r="G94" i="18"/>
  <c r="G93" i="18"/>
  <c r="G92" i="18"/>
  <c r="G91" i="18"/>
  <c r="F88" i="18"/>
  <c r="E88" i="18"/>
  <c r="D88" i="18"/>
  <c r="C88" i="18"/>
  <c r="G86" i="18"/>
  <c r="G85" i="18"/>
  <c r="G84" i="18"/>
  <c r="G83" i="18"/>
  <c r="G82" i="18"/>
  <c r="G81" i="18"/>
  <c r="G80" i="18"/>
  <c r="G79" i="18"/>
  <c r="G78" i="18"/>
  <c r="G77" i="18"/>
  <c r="G76" i="18"/>
  <c r="G75" i="18"/>
  <c r="G74" i="18"/>
  <c r="G73" i="18"/>
  <c r="F69" i="18"/>
  <c r="G69" i="18" s="1"/>
  <c r="D69" i="18"/>
  <c r="C69" i="18"/>
  <c r="G68" i="18"/>
  <c r="G67" i="18"/>
  <c r="G66" i="18"/>
  <c r="G65" i="18"/>
  <c r="G64" i="18"/>
  <c r="G63" i="18"/>
  <c r="G62" i="18"/>
  <c r="G61" i="18"/>
  <c r="G60" i="18"/>
  <c r="G59" i="18"/>
  <c r="G58" i="18"/>
  <c r="G57" i="18"/>
  <c r="G56" i="18"/>
  <c r="G55" i="18"/>
  <c r="G54" i="18"/>
  <c r="G53" i="18"/>
  <c r="G52" i="18"/>
  <c r="G51" i="18"/>
  <c r="F48" i="18"/>
  <c r="D48" i="18"/>
  <c r="C48" i="18"/>
  <c r="G47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F29" i="18"/>
  <c r="E29" i="18"/>
  <c r="D29" i="18"/>
  <c r="C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F12" i="18"/>
  <c r="F13" i="18" s="1"/>
  <c r="E12" i="18"/>
  <c r="E13" i="18" s="1"/>
  <c r="D12" i="18"/>
  <c r="D13" i="18" s="1"/>
  <c r="D30" i="18" s="1"/>
  <c r="C12" i="18"/>
  <c r="C13" i="18" s="1"/>
  <c r="G11" i="18"/>
  <c r="G6" i="18"/>
  <c r="F4" i="18"/>
  <c r="E4" i="18"/>
  <c r="D4" i="18"/>
  <c r="C4" i="18"/>
  <c r="G3" i="18"/>
  <c r="F119" i="17"/>
  <c r="E119" i="17"/>
  <c r="D119" i="17"/>
  <c r="C119" i="17"/>
  <c r="B119" i="17"/>
  <c r="F108" i="17"/>
  <c r="E108" i="17"/>
  <c r="D108" i="17"/>
  <c r="C108" i="17"/>
  <c r="B108" i="17"/>
  <c r="G103" i="17"/>
  <c r="F99" i="17"/>
  <c r="E99" i="17"/>
  <c r="D99" i="17"/>
  <c r="C99" i="17"/>
  <c r="B99" i="17"/>
  <c r="G95" i="17"/>
  <c r="G94" i="17"/>
  <c r="G93" i="17"/>
  <c r="F89" i="17"/>
  <c r="E89" i="17"/>
  <c r="D89" i="17"/>
  <c r="C89" i="17"/>
  <c r="B89" i="17"/>
  <c r="G87" i="17"/>
  <c r="G86" i="17"/>
  <c r="G85" i="17"/>
  <c r="G84" i="17"/>
  <c r="F80" i="17"/>
  <c r="E80" i="17"/>
  <c r="D80" i="17"/>
  <c r="C80" i="17"/>
  <c r="B80" i="17"/>
  <c r="G76" i="17"/>
  <c r="G75" i="17"/>
  <c r="G74" i="17"/>
  <c r="F70" i="17"/>
  <c r="E70" i="17"/>
  <c r="D70" i="17"/>
  <c r="C70" i="17"/>
  <c r="B70" i="17"/>
  <c r="G67" i="17"/>
  <c r="G66" i="17"/>
  <c r="G65" i="17"/>
  <c r="F61" i="17"/>
  <c r="E61" i="17"/>
  <c r="D61" i="17"/>
  <c r="C61" i="17"/>
  <c r="B61" i="17"/>
  <c r="G57" i="17"/>
  <c r="G56" i="17"/>
  <c r="G55" i="17"/>
  <c r="F51" i="17"/>
  <c r="E51" i="17"/>
  <c r="D51" i="17"/>
  <c r="C51" i="17"/>
  <c r="B51" i="17"/>
  <c r="G48" i="17"/>
  <c r="G47" i="17"/>
  <c r="G46" i="17"/>
  <c r="F42" i="17"/>
  <c r="E42" i="17"/>
  <c r="D42" i="17"/>
  <c r="C42" i="17"/>
  <c r="B42" i="17"/>
  <c r="G41" i="17"/>
  <c r="G40" i="17"/>
  <c r="G39" i="17"/>
  <c r="G38" i="17"/>
  <c r="G37" i="17"/>
  <c r="G36" i="17"/>
  <c r="G35" i="17"/>
  <c r="G34" i="17"/>
  <c r="F31" i="17"/>
  <c r="E31" i="17"/>
  <c r="D31" i="17"/>
  <c r="C31" i="17"/>
  <c r="B31" i="17"/>
  <c r="G30" i="17"/>
  <c r="G29" i="17"/>
  <c r="G28" i="17"/>
  <c r="G27" i="17"/>
  <c r="G26" i="17"/>
  <c r="G25" i="17"/>
  <c r="F22" i="17"/>
  <c r="E22" i="17"/>
  <c r="D22" i="17"/>
  <c r="C22" i="17"/>
  <c r="B22" i="17"/>
  <c r="G21" i="17"/>
  <c r="G20" i="17"/>
  <c r="G19" i="17"/>
  <c r="G18" i="17"/>
  <c r="G17" i="17"/>
  <c r="G16" i="17"/>
  <c r="F13" i="17"/>
  <c r="F14" i="17" s="1"/>
  <c r="E13" i="17"/>
  <c r="E14" i="17" s="1"/>
  <c r="E23" i="17" s="1"/>
  <c r="E32" i="17" s="1"/>
  <c r="E43" i="17" s="1"/>
  <c r="E52" i="17" s="1"/>
  <c r="E62" i="17" s="1"/>
  <c r="E71" i="17" s="1"/>
  <c r="E81" i="17" s="1"/>
  <c r="E90" i="17" s="1"/>
  <c r="E100" i="17" s="1"/>
  <c r="D13" i="17"/>
  <c r="D14" i="17" s="1"/>
  <c r="C13" i="17"/>
  <c r="C14" i="17" s="1"/>
  <c r="C23" i="17" s="1"/>
  <c r="B13" i="17"/>
  <c r="G12" i="17"/>
  <c r="G11" i="17"/>
  <c r="G10" i="17"/>
  <c r="G9" i="17"/>
  <c r="G8" i="17"/>
  <c r="F5" i="17"/>
  <c r="E5" i="17"/>
  <c r="D5" i="17"/>
  <c r="B5" i="17"/>
  <c r="G4" i="17"/>
  <c r="B101" i="16"/>
  <c r="C101" i="16" s="1"/>
  <c r="C96" i="16"/>
  <c r="B93" i="16"/>
  <c r="C93" i="16" s="1"/>
  <c r="C89" i="16"/>
  <c r="B85" i="16"/>
  <c r="C85" i="16" s="1"/>
  <c r="C81" i="16"/>
  <c r="C80" i="16"/>
  <c r="B77" i="16"/>
  <c r="C77" i="16" s="1"/>
  <c r="C74" i="16"/>
  <c r="C73" i="16"/>
  <c r="C72" i="16"/>
  <c r="B69" i="16"/>
  <c r="C69" i="16" s="1"/>
  <c r="C65" i="16"/>
  <c r="C64" i="16"/>
  <c r="B61" i="16"/>
  <c r="C61" i="16" s="1"/>
  <c r="C57" i="16"/>
  <c r="C56" i="16"/>
  <c r="B53" i="16"/>
  <c r="C53" i="16" s="1"/>
  <c r="C48" i="16"/>
  <c r="C47" i="16"/>
  <c r="B44" i="16"/>
  <c r="C44" i="16" s="1"/>
  <c r="C40" i="16"/>
  <c r="C39" i="16"/>
  <c r="B36" i="16"/>
  <c r="C36" i="16" s="1"/>
  <c r="C35" i="16"/>
  <c r="C34" i="16"/>
  <c r="C33" i="16"/>
  <c r="C32" i="16"/>
  <c r="C31" i="16"/>
  <c r="B28" i="16"/>
  <c r="C28" i="16" s="1"/>
  <c r="C24" i="16"/>
  <c r="C23" i="16"/>
  <c r="B20" i="16"/>
  <c r="C20" i="16" s="1"/>
  <c r="C16" i="16"/>
  <c r="C15" i="16"/>
  <c r="B12" i="16"/>
  <c r="C8" i="16"/>
  <c r="C7" i="16"/>
  <c r="B5" i="16"/>
  <c r="C4" i="16"/>
  <c r="H119" i="15"/>
  <c r="G119" i="15"/>
  <c r="F119" i="15"/>
  <c r="E119" i="15"/>
  <c r="D119" i="15"/>
  <c r="C119" i="15"/>
  <c r="B119" i="15"/>
  <c r="I118" i="15"/>
  <c r="I117" i="15"/>
  <c r="I116" i="15"/>
  <c r="I115" i="15"/>
  <c r="I114" i="15"/>
  <c r="I113" i="15"/>
  <c r="H109" i="15"/>
  <c r="G109" i="15"/>
  <c r="F109" i="15"/>
  <c r="E109" i="15"/>
  <c r="D109" i="15"/>
  <c r="C109" i="15"/>
  <c r="B109" i="15"/>
  <c r="I108" i="15"/>
  <c r="I107" i="15"/>
  <c r="I106" i="15"/>
  <c r="I105" i="15"/>
  <c r="I104" i="15"/>
  <c r="I103" i="15"/>
  <c r="H99" i="15"/>
  <c r="G99" i="15"/>
  <c r="F99" i="15"/>
  <c r="E99" i="15"/>
  <c r="D99" i="15"/>
  <c r="C99" i="15"/>
  <c r="B99" i="15"/>
  <c r="I98" i="15"/>
  <c r="I97" i="15"/>
  <c r="I96" i="15"/>
  <c r="I95" i="15"/>
  <c r="I94" i="15"/>
  <c r="I93" i="15"/>
  <c r="H89" i="15"/>
  <c r="G89" i="15"/>
  <c r="F89" i="15"/>
  <c r="E89" i="15"/>
  <c r="D89" i="15"/>
  <c r="C89" i="15"/>
  <c r="B89" i="15"/>
  <c r="I88" i="15"/>
  <c r="I87" i="15"/>
  <c r="I86" i="15"/>
  <c r="I85" i="15"/>
  <c r="I84" i="15"/>
  <c r="I83" i="15"/>
  <c r="H79" i="15"/>
  <c r="G79" i="15"/>
  <c r="F79" i="15"/>
  <c r="E79" i="15"/>
  <c r="D79" i="15"/>
  <c r="C79" i="15"/>
  <c r="B79" i="15"/>
  <c r="I78" i="15"/>
  <c r="I77" i="15"/>
  <c r="I76" i="15"/>
  <c r="I75" i="15"/>
  <c r="I74" i="15"/>
  <c r="I73" i="15"/>
  <c r="H69" i="15"/>
  <c r="G69" i="15"/>
  <c r="F69" i="15"/>
  <c r="E69" i="15"/>
  <c r="D69" i="15"/>
  <c r="C69" i="15"/>
  <c r="B69" i="15"/>
  <c r="I68" i="15"/>
  <c r="I67" i="15"/>
  <c r="I66" i="15"/>
  <c r="I65" i="15"/>
  <c r="I64" i="15"/>
  <c r="I63" i="15"/>
  <c r="H59" i="15"/>
  <c r="G59" i="15"/>
  <c r="F59" i="15"/>
  <c r="E59" i="15"/>
  <c r="D59" i="15"/>
  <c r="C59" i="15"/>
  <c r="B59" i="15"/>
  <c r="I58" i="15"/>
  <c r="I57" i="15"/>
  <c r="I56" i="15"/>
  <c r="I55" i="15"/>
  <c r="I54" i="15"/>
  <c r="H50" i="15"/>
  <c r="G50" i="15"/>
  <c r="F50" i="15"/>
  <c r="E50" i="15"/>
  <c r="D50" i="15"/>
  <c r="C50" i="15"/>
  <c r="B50" i="15"/>
  <c r="I49" i="15"/>
  <c r="I48" i="15"/>
  <c r="I47" i="15"/>
  <c r="I46" i="15"/>
  <c r="I45" i="15"/>
  <c r="I44" i="15"/>
  <c r="H40" i="15"/>
  <c r="G40" i="15"/>
  <c r="F40" i="15"/>
  <c r="E40" i="15"/>
  <c r="D40" i="15"/>
  <c r="C40" i="15"/>
  <c r="B40" i="15"/>
  <c r="I39" i="15"/>
  <c r="I38" i="15"/>
  <c r="I37" i="15"/>
  <c r="I36" i="15"/>
  <c r="I34" i="15"/>
  <c r="H31" i="15"/>
  <c r="G31" i="15"/>
  <c r="F31" i="15"/>
  <c r="E31" i="15"/>
  <c r="D31" i="15"/>
  <c r="C31" i="15"/>
  <c r="B31" i="15"/>
  <c r="I30" i="15"/>
  <c r="I29" i="15"/>
  <c r="I28" i="15"/>
  <c r="I27" i="15"/>
  <c r="I26" i="15"/>
  <c r="I25" i="15"/>
  <c r="I24" i="15"/>
  <c r="H21" i="15"/>
  <c r="G21" i="15"/>
  <c r="F21" i="15"/>
  <c r="E21" i="15"/>
  <c r="D21" i="15"/>
  <c r="C21" i="15"/>
  <c r="B21" i="15"/>
  <c r="I20" i="15"/>
  <c r="I19" i="15"/>
  <c r="I18" i="15"/>
  <c r="I17" i="15"/>
  <c r="I16" i="15"/>
  <c r="H12" i="15"/>
  <c r="H13" i="15" s="1"/>
  <c r="H22" i="15" s="1"/>
  <c r="H32" i="15" s="1"/>
  <c r="G12" i="15"/>
  <c r="F12" i="15"/>
  <c r="F13" i="15" s="1"/>
  <c r="F22" i="15" s="1"/>
  <c r="E12" i="15"/>
  <c r="E13" i="15" s="1"/>
  <c r="D12" i="15"/>
  <c r="D13" i="15" s="1"/>
  <c r="D22" i="15" s="1"/>
  <c r="D32" i="15" s="1"/>
  <c r="C12" i="15"/>
  <c r="C13" i="15" s="1"/>
  <c r="C22" i="15" s="1"/>
  <c r="B12" i="15"/>
  <c r="B13" i="15" s="1"/>
  <c r="I11" i="15"/>
  <c r="I10" i="15"/>
  <c r="I9" i="15"/>
  <c r="I8" i="15"/>
  <c r="I7" i="15"/>
  <c r="H4" i="15"/>
  <c r="H14" i="15" s="1"/>
  <c r="H23" i="15" s="1"/>
  <c r="H33" i="15" s="1"/>
  <c r="G4" i="15"/>
  <c r="G14" i="15" s="1"/>
  <c r="F4" i="15"/>
  <c r="F14" i="15" s="1"/>
  <c r="F23" i="15" s="1"/>
  <c r="E4" i="15"/>
  <c r="E14" i="15" s="1"/>
  <c r="D4" i="15"/>
  <c r="C4" i="15"/>
  <c r="C14" i="15" s="1"/>
  <c r="C23" i="15" s="1"/>
  <c r="B4" i="15"/>
  <c r="B14" i="15" s="1"/>
  <c r="I3" i="15"/>
  <c r="J136" i="14"/>
  <c r="D136" i="14"/>
  <c r="J135" i="14"/>
  <c r="D135" i="14"/>
  <c r="C135" i="14" s="1"/>
  <c r="I134" i="14"/>
  <c r="G134" i="14"/>
  <c r="E134" i="14"/>
  <c r="I133" i="14"/>
  <c r="I132" i="14"/>
  <c r="I131" i="14"/>
  <c r="I130" i="14"/>
  <c r="I129" i="14"/>
  <c r="H128" i="14"/>
  <c r="C41" i="2"/>
  <c r="I127" i="14"/>
  <c r="I126" i="14"/>
  <c r="I125" i="14"/>
  <c r="I124" i="14"/>
  <c r="I123" i="14"/>
  <c r="I122" i="14"/>
  <c r="I121" i="14"/>
  <c r="H120" i="14"/>
  <c r="H119" i="14" s="1"/>
  <c r="I117" i="14"/>
  <c r="I116" i="14" s="1"/>
  <c r="H116" i="14"/>
  <c r="I113" i="14"/>
  <c r="I112" i="14" s="1"/>
  <c r="H112" i="14"/>
  <c r="I111" i="14"/>
  <c r="I110" i="14" s="1"/>
  <c r="H110" i="14"/>
  <c r="I109" i="14"/>
  <c r="I108" i="14" s="1"/>
  <c r="H108" i="14"/>
  <c r="I107" i="14"/>
  <c r="I106" i="14"/>
  <c r="E106" i="14"/>
  <c r="F106" i="14" s="1"/>
  <c r="I105" i="14"/>
  <c r="H104" i="14"/>
  <c r="I101" i="14"/>
  <c r="H101" i="14"/>
  <c r="I97" i="14"/>
  <c r="I96" i="14"/>
  <c r="I95" i="14"/>
  <c r="I94" i="14"/>
  <c r="I93" i="14"/>
  <c r="J90" i="14"/>
  <c r="I90" i="14"/>
  <c r="I89" i="14"/>
  <c r="I88" i="14"/>
  <c r="I85" i="14"/>
  <c r="I84" i="14"/>
  <c r="I83" i="14"/>
  <c r="I82" i="14"/>
  <c r="J80" i="14"/>
  <c r="I79" i="14"/>
  <c r="I63" i="14"/>
  <c r="H63" i="14"/>
  <c r="I61" i="14"/>
  <c r="J60" i="14"/>
  <c r="J58" i="14"/>
  <c r="I56" i="14"/>
  <c r="I55" i="14"/>
  <c r="I52" i="14"/>
  <c r="I51" i="14" s="1"/>
  <c r="I50" i="14"/>
  <c r="I49" i="14"/>
  <c r="I45" i="14"/>
  <c r="J43" i="14"/>
  <c r="I42" i="14"/>
  <c r="I41" i="14"/>
  <c r="I40" i="14"/>
  <c r="J27" i="14"/>
  <c r="J22" i="14"/>
  <c r="H16" i="14"/>
  <c r="H12" i="14" s="1"/>
  <c r="H11" i="14" s="1"/>
  <c r="J15" i="14"/>
  <c r="K201" i="12"/>
  <c r="I201" i="12"/>
  <c r="H201" i="12"/>
  <c r="G201" i="12"/>
  <c r="E201" i="12"/>
  <c r="L174" i="12"/>
  <c r="K171" i="12"/>
  <c r="J171" i="12"/>
  <c r="I171" i="12"/>
  <c r="H171" i="12"/>
  <c r="G171" i="12"/>
  <c r="F171" i="12"/>
  <c r="E171" i="12"/>
  <c r="L156" i="12"/>
  <c r="K153" i="12"/>
  <c r="J153" i="12"/>
  <c r="I153" i="12"/>
  <c r="G153" i="12"/>
  <c r="F153" i="12"/>
  <c r="E153" i="12"/>
  <c r="L152" i="12"/>
  <c r="L151" i="12"/>
  <c r="L150" i="12"/>
  <c r="L149" i="12"/>
  <c r="L148" i="12"/>
  <c r="L133" i="12"/>
  <c r="K130" i="12"/>
  <c r="J130" i="12"/>
  <c r="I130" i="12"/>
  <c r="H130" i="12"/>
  <c r="G130" i="12"/>
  <c r="F130" i="12"/>
  <c r="E130" i="12"/>
  <c r="L104" i="12"/>
  <c r="L103" i="12"/>
  <c r="K100" i="12"/>
  <c r="J100" i="12"/>
  <c r="I100" i="12"/>
  <c r="H100" i="12"/>
  <c r="G100" i="12"/>
  <c r="F100" i="12"/>
  <c r="E100" i="12"/>
  <c r="L88" i="12"/>
  <c r="K85" i="12"/>
  <c r="J85" i="12"/>
  <c r="I85" i="12"/>
  <c r="H85" i="12"/>
  <c r="G85" i="12"/>
  <c r="F85" i="12"/>
  <c r="E85" i="12"/>
  <c r="L79" i="12"/>
  <c r="K76" i="12"/>
  <c r="J76" i="12"/>
  <c r="I76" i="12"/>
  <c r="H76" i="12"/>
  <c r="G76" i="12"/>
  <c r="F76" i="12"/>
  <c r="E76" i="12"/>
  <c r="L68" i="12"/>
  <c r="K65" i="12"/>
  <c r="J65" i="12"/>
  <c r="I65" i="12"/>
  <c r="H65" i="12"/>
  <c r="G65" i="12"/>
  <c r="F65" i="12"/>
  <c r="E65" i="12"/>
  <c r="L55" i="12"/>
  <c r="K52" i="12"/>
  <c r="J52" i="12"/>
  <c r="I52" i="12"/>
  <c r="H52" i="12"/>
  <c r="G52" i="12"/>
  <c r="F52" i="12"/>
  <c r="E52" i="12"/>
  <c r="I4" i="21"/>
  <c r="J4" i="19"/>
  <c r="J19" i="19" s="1"/>
  <c r="G4" i="18"/>
  <c r="G5" i="17"/>
  <c r="I4" i="15"/>
  <c r="D67" i="2"/>
  <c r="O65" i="2"/>
  <c r="B65" i="2"/>
  <c r="O62" i="2"/>
  <c r="O61" i="2" s="1"/>
  <c r="B62" i="2"/>
  <c r="O59" i="2"/>
  <c r="B59" i="2"/>
  <c r="H58" i="2"/>
  <c r="H10" i="2" s="1"/>
  <c r="C58" i="2"/>
  <c r="C49" i="1" s="1"/>
  <c r="O56" i="2"/>
  <c r="B56" i="2"/>
  <c r="C40" i="2"/>
  <c r="O39" i="2"/>
  <c r="B39" i="2"/>
  <c r="O37" i="2"/>
  <c r="B37" i="2"/>
  <c r="O34" i="2"/>
  <c r="B34" i="2"/>
  <c r="O31" i="2"/>
  <c r="B31" i="2"/>
  <c r="O28" i="2"/>
  <c r="B28" i="2"/>
  <c r="Q22" i="2"/>
  <c r="B22" i="2"/>
  <c r="B21" i="2"/>
  <c r="B19" i="2"/>
  <c r="B18" i="2" s="1"/>
  <c r="I18" i="2"/>
  <c r="E18" i="2"/>
  <c r="B17" i="2"/>
  <c r="Q16" i="2"/>
  <c r="B16" i="2"/>
  <c r="Q13" i="2"/>
  <c r="B13" i="2"/>
  <c r="B12" i="2" s="1"/>
  <c r="B11" i="2"/>
  <c r="B10" i="2"/>
  <c r="Q9" i="2"/>
  <c r="B58" i="1"/>
  <c r="B57" i="1"/>
  <c r="B56" i="1" s="1"/>
  <c r="E56" i="1"/>
  <c r="D56" i="1"/>
  <c r="B53" i="1"/>
  <c r="E53" i="1"/>
  <c r="D53" i="1"/>
  <c r="B50" i="1"/>
  <c r="E50" i="1"/>
  <c r="E60" i="1" s="1"/>
  <c r="D50" i="1"/>
  <c r="D60" i="1" s="1"/>
  <c r="B49" i="1"/>
  <c r="B48" i="1"/>
  <c r="E47" i="1"/>
  <c r="D47" i="1"/>
  <c r="E37" i="1"/>
  <c r="D37" i="1"/>
  <c r="E35" i="1"/>
  <c r="D35" i="1"/>
  <c r="E32" i="1"/>
  <c r="E12" i="1" s="1"/>
  <c r="D32" i="1"/>
  <c r="E29" i="1"/>
  <c r="D29" i="1"/>
  <c r="E26" i="1"/>
  <c r="E9" i="1" s="1"/>
  <c r="D26" i="1"/>
  <c r="E15" i="1"/>
  <c r="D15" i="1"/>
  <c r="B15" i="1"/>
  <c r="E14" i="1"/>
  <c r="D14" i="1"/>
  <c r="H42" i="15" l="1"/>
  <c r="H52" i="15" s="1"/>
  <c r="H61" i="15" s="1"/>
  <c r="H71" i="15" s="1"/>
  <c r="H81" i="15" s="1"/>
  <c r="H91" i="15" s="1"/>
  <c r="I40" i="15"/>
  <c r="H41" i="15"/>
  <c r="H51" i="15" s="1"/>
  <c r="H60" i="15" s="1"/>
  <c r="H70" i="15" s="1"/>
  <c r="H80" i="15" s="1"/>
  <c r="H90" i="15" s="1"/>
  <c r="D52" i="1"/>
  <c r="H15" i="24"/>
  <c r="H14" i="24"/>
  <c r="H30" i="24" s="1"/>
  <c r="H42" i="24" s="1"/>
  <c r="C52" i="21"/>
  <c r="C78" i="21" s="1"/>
  <c r="C98" i="21" s="1"/>
  <c r="C132" i="21" s="1"/>
  <c r="C154" i="21" s="1"/>
  <c r="C181" i="21" s="1"/>
  <c r="C203" i="21" s="1"/>
  <c r="C228" i="21" s="1"/>
  <c r="C253" i="21" s="1"/>
  <c r="C280" i="21" s="1"/>
  <c r="E79" i="14" s="1"/>
  <c r="J79" i="14" s="1"/>
  <c r="K79" i="19"/>
  <c r="K125" i="19" s="1"/>
  <c r="K175" i="19" s="1"/>
  <c r="K230" i="19" s="1"/>
  <c r="K277" i="19" s="1"/>
  <c r="M78" i="19"/>
  <c r="M124" i="19" s="1"/>
  <c r="M174" i="19" s="1"/>
  <c r="M229" i="19" s="1"/>
  <c r="M276" i="19" s="1"/>
  <c r="M332" i="19" s="1"/>
  <c r="M383" i="19" s="1"/>
  <c r="M425" i="19" s="1"/>
  <c r="M488" i="19" s="1"/>
  <c r="M580" i="19" s="1"/>
  <c r="E57" i="14" s="1"/>
  <c r="D34" i="21"/>
  <c r="E34" i="21"/>
  <c r="E52" i="21" s="1"/>
  <c r="E78" i="21" s="1"/>
  <c r="E98" i="21" s="1"/>
  <c r="F34" i="21"/>
  <c r="F52" i="21" s="1"/>
  <c r="F78" i="21" s="1"/>
  <c r="F98" i="21" s="1"/>
  <c r="F132" i="21" s="1"/>
  <c r="F154" i="21" s="1"/>
  <c r="F181" i="21" s="1"/>
  <c r="F203" i="21" s="1"/>
  <c r="F228" i="21" s="1"/>
  <c r="F253" i="21" s="1"/>
  <c r="F280" i="21" s="1"/>
  <c r="E83" i="14" s="1"/>
  <c r="F83" i="14" s="1"/>
  <c r="G34" i="21"/>
  <c r="G52" i="21" s="1"/>
  <c r="G78" i="21" s="1"/>
  <c r="I97" i="21"/>
  <c r="G31" i="24"/>
  <c r="G43" i="24" s="1"/>
  <c r="G54" i="24" s="1"/>
  <c r="G68" i="24" s="1"/>
  <c r="G85" i="24" s="1"/>
  <c r="G108" i="24" s="1"/>
  <c r="G120" i="24" s="1"/>
  <c r="G136" i="24" s="1"/>
  <c r="G164" i="24" s="1"/>
  <c r="G187" i="24" s="1"/>
  <c r="G225" i="24" s="1"/>
  <c r="E35" i="20"/>
  <c r="B15" i="17"/>
  <c r="C35" i="20"/>
  <c r="E30" i="18"/>
  <c r="E70" i="18" s="1"/>
  <c r="E89" i="18" s="1"/>
  <c r="E115" i="18" s="1"/>
  <c r="E132" i="18" s="1"/>
  <c r="E156" i="18" s="1"/>
  <c r="E174" i="18" s="1"/>
  <c r="E198" i="18" s="1"/>
  <c r="E216" i="18" s="1"/>
  <c r="E268" i="18" s="1"/>
  <c r="E22" i="15"/>
  <c r="E32" i="15" s="1"/>
  <c r="E41" i="15" s="1"/>
  <c r="E51" i="15" s="1"/>
  <c r="E60" i="15" s="1"/>
  <c r="E70" i="15" s="1"/>
  <c r="E80" i="15" s="1"/>
  <c r="E90" i="15" s="1"/>
  <c r="E100" i="15" s="1"/>
  <c r="E110" i="15" s="1"/>
  <c r="E120" i="15" s="1"/>
  <c r="E17" i="14" s="1"/>
  <c r="E23" i="15"/>
  <c r="E33" i="15" s="1"/>
  <c r="E42" i="15" s="1"/>
  <c r="E52" i="15" s="1"/>
  <c r="E61" i="15" s="1"/>
  <c r="E71" i="15" s="1"/>
  <c r="E81" i="15" s="1"/>
  <c r="E91" i="15" s="1"/>
  <c r="E101" i="15" s="1"/>
  <c r="E111" i="15" s="1"/>
  <c r="E121" i="15" s="1"/>
  <c r="C30" i="24"/>
  <c r="I134" i="24"/>
  <c r="H17" i="21"/>
  <c r="L78" i="19"/>
  <c r="L124" i="19" s="1"/>
  <c r="L174" i="19" s="1"/>
  <c r="L229" i="19" s="1"/>
  <c r="L276" i="19" s="1"/>
  <c r="L332" i="19" s="1"/>
  <c r="L383" i="19" s="1"/>
  <c r="L425" i="19" s="1"/>
  <c r="L488" i="19" s="1"/>
  <c r="L580" i="19" s="1"/>
  <c r="W124" i="19"/>
  <c r="W174" i="19" s="1"/>
  <c r="W229" i="19" s="1"/>
  <c r="W276" i="19" s="1"/>
  <c r="W332" i="19" s="1"/>
  <c r="W383" i="19" s="1"/>
  <c r="W425" i="19" s="1"/>
  <c r="W488" i="19" s="1"/>
  <c r="W580" i="19" s="1"/>
  <c r="AE77" i="19"/>
  <c r="X78" i="19"/>
  <c r="X124" i="19" s="1"/>
  <c r="X174" i="19" s="1"/>
  <c r="X229" i="19" s="1"/>
  <c r="X276" i="19" s="1"/>
  <c r="X332" i="19" s="1"/>
  <c r="X383" i="19" s="1"/>
  <c r="X425" i="19" s="1"/>
  <c r="X488" i="19" s="1"/>
  <c r="X580" i="19" s="1"/>
  <c r="E72" i="14" s="1"/>
  <c r="F72" i="14" s="1"/>
  <c r="B17" i="21"/>
  <c r="B35" i="21" s="1"/>
  <c r="F136" i="14"/>
  <c r="C136" i="14"/>
  <c r="C134" i="14" s="1"/>
  <c r="C17" i="21"/>
  <c r="C35" i="21" s="1"/>
  <c r="C53" i="21" s="1"/>
  <c r="C79" i="21" s="1"/>
  <c r="C99" i="21" s="1"/>
  <c r="C133" i="21" s="1"/>
  <c r="C155" i="21" s="1"/>
  <c r="B21" i="20"/>
  <c r="B36" i="20" s="1"/>
  <c r="B52" i="20" s="1"/>
  <c r="E21" i="20"/>
  <c r="E36" i="20" s="1"/>
  <c r="E52" i="20" s="1"/>
  <c r="E76" i="20" s="1"/>
  <c r="E92" i="20" s="1"/>
  <c r="E118" i="20" s="1"/>
  <c r="C19" i="19"/>
  <c r="C49" i="19" s="1"/>
  <c r="C79" i="19" s="1"/>
  <c r="C125" i="19" s="1"/>
  <c r="C175" i="19" s="1"/>
  <c r="C230" i="19" s="1"/>
  <c r="D19" i="19"/>
  <c r="D49" i="19" s="1"/>
  <c r="D79" i="19" s="1"/>
  <c r="D125" i="19" s="1"/>
  <c r="D175" i="19" s="1"/>
  <c r="D230" i="19" s="1"/>
  <c r="AD19" i="19"/>
  <c r="AD49" i="19" s="1"/>
  <c r="AD79" i="19" s="1"/>
  <c r="AD125" i="19" s="1"/>
  <c r="AD175" i="19" s="1"/>
  <c r="AD230" i="19" s="1"/>
  <c r="AD277" i="19" s="1"/>
  <c r="AD333" i="19" s="1"/>
  <c r="AD384" i="19" s="1"/>
  <c r="AD426" i="19" s="1"/>
  <c r="AD489" i="19" s="1"/>
  <c r="AD581" i="19" s="1"/>
  <c r="O19" i="19"/>
  <c r="P19" i="19"/>
  <c r="P49" i="19" s="1"/>
  <c r="P79" i="19" s="1"/>
  <c r="P125" i="19" s="1"/>
  <c r="P175" i="19" s="1"/>
  <c r="P230" i="19" s="1"/>
  <c r="P277" i="19" s="1"/>
  <c r="P333" i="19" s="1"/>
  <c r="P384" i="19" s="1"/>
  <c r="P426" i="19" s="1"/>
  <c r="P489" i="19" s="1"/>
  <c r="P581" i="19" s="1"/>
  <c r="Q19" i="19"/>
  <c r="Q49" i="19" s="1"/>
  <c r="Q79" i="19" s="1"/>
  <c r="Q125" i="19" s="1"/>
  <c r="Q175" i="19" s="1"/>
  <c r="Q230" i="19" s="1"/>
  <c r="R19" i="19"/>
  <c r="R49" i="19" s="1"/>
  <c r="R79" i="19" s="1"/>
  <c r="R125" i="19" s="1"/>
  <c r="R175" i="19" s="1"/>
  <c r="R230" i="19" s="1"/>
  <c r="R277" i="19" s="1"/>
  <c r="R333" i="19" s="1"/>
  <c r="R384" i="19" s="1"/>
  <c r="R426" i="19" s="1"/>
  <c r="R489" i="19" s="1"/>
  <c r="R581" i="19" s="1"/>
  <c r="S19" i="19"/>
  <c r="S49" i="19" s="1"/>
  <c r="S79" i="19" s="1"/>
  <c r="S125" i="19" s="1"/>
  <c r="S175" i="19" s="1"/>
  <c r="S230" i="19" s="1"/>
  <c r="S277" i="19" s="1"/>
  <c r="S333" i="19" s="1"/>
  <c r="S384" i="19" s="1"/>
  <c r="S426" i="19" s="1"/>
  <c r="S489" i="19" s="1"/>
  <c r="S581" i="19" s="1"/>
  <c r="W49" i="19"/>
  <c r="W79" i="19" s="1"/>
  <c r="W125" i="19" s="1"/>
  <c r="W175" i="19" s="1"/>
  <c r="W230" i="19" s="1"/>
  <c r="W277" i="19" s="1"/>
  <c r="W333" i="19" s="1"/>
  <c r="W384" i="19" s="1"/>
  <c r="W426" i="19" s="1"/>
  <c r="W489" i="19" s="1"/>
  <c r="W581" i="19" s="1"/>
  <c r="G141" i="25"/>
  <c r="E43" i="25"/>
  <c r="G42" i="25"/>
  <c r="F50" i="23"/>
  <c r="F62" i="23" s="1"/>
  <c r="F27" i="23"/>
  <c r="F49" i="23" s="1"/>
  <c r="G27" i="23"/>
  <c r="H27" i="23"/>
  <c r="H49" i="23" s="1"/>
  <c r="F39" i="22"/>
  <c r="F50" i="22" s="1"/>
  <c r="F61" i="22" s="1"/>
  <c r="F72" i="22" s="1"/>
  <c r="F83" i="22" s="1"/>
  <c r="F91" i="22" s="1"/>
  <c r="F102" i="22" s="1"/>
  <c r="F113" i="22" s="1"/>
  <c r="F124" i="22" s="1"/>
  <c r="F135" i="22" s="1"/>
  <c r="D17" i="21"/>
  <c r="D35" i="21" s="1"/>
  <c r="D53" i="21" s="1"/>
  <c r="D79" i="21" s="1"/>
  <c r="D99" i="21" s="1"/>
  <c r="D133" i="21" s="1"/>
  <c r="D52" i="21"/>
  <c r="D78" i="21" s="1"/>
  <c r="D98" i="21" s="1"/>
  <c r="D132" i="21" s="1"/>
  <c r="D154" i="21" s="1"/>
  <c r="D181" i="21" s="1"/>
  <c r="D203" i="21" s="1"/>
  <c r="D228" i="21" s="1"/>
  <c r="D253" i="21" s="1"/>
  <c r="D280" i="21" s="1"/>
  <c r="E81" i="14" s="1"/>
  <c r="F81" i="14" s="1"/>
  <c r="F91" i="20"/>
  <c r="F117" i="20" s="1"/>
  <c r="F131" i="20" s="1"/>
  <c r="F154" i="20" s="1"/>
  <c r="F173" i="20" s="1"/>
  <c r="F195" i="20" s="1"/>
  <c r="F213" i="20" s="1"/>
  <c r="F240" i="20" s="1"/>
  <c r="E93" i="14" s="1"/>
  <c r="F93" i="14" s="1"/>
  <c r="G35" i="20"/>
  <c r="G51" i="20" s="1"/>
  <c r="G75" i="20" s="1"/>
  <c r="G91" i="20" s="1"/>
  <c r="G117" i="20" s="1"/>
  <c r="G131" i="20" s="1"/>
  <c r="G154" i="20" s="1"/>
  <c r="G173" i="20" s="1"/>
  <c r="G195" i="20" s="1"/>
  <c r="G213" i="20" s="1"/>
  <c r="G240" i="20" s="1"/>
  <c r="E94" i="14" s="1"/>
  <c r="F94" i="14" s="1"/>
  <c r="H35" i="20"/>
  <c r="H51" i="20" s="1"/>
  <c r="H75" i="20" s="1"/>
  <c r="H91" i="20" s="1"/>
  <c r="H117" i="20" s="1"/>
  <c r="H131" i="20" s="1"/>
  <c r="H154" i="20" s="1"/>
  <c r="H173" i="20" s="1"/>
  <c r="H195" i="20" s="1"/>
  <c r="H213" i="20" s="1"/>
  <c r="H240" i="20" s="1"/>
  <c r="E95" i="14" s="1"/>
  <c r="F95" i="14" s="1"/>
  <c r="I35" i="20"/>
  <c r="I51" i="20" s="1"/>
  <c r="I75" i="20" s="1"/>
  <c r="I91" i="20" s="1"/>
  <c r="C21" i="20"/>
  <c r="C36" i="20" s="1"/>
  <c r="C52" i="20" s="1"/>
  <c r="C76" i="20" s="1"/>
  <c r="C92" i="20" s="1"/>
  <c r="C118" i="20" s="1"/>
  <c r="J21" i="20"/>
  <c r="J36" i="20" s="1"/>
  <c r="J52" i="20" s="1"/>
  <c r="J76" i="20" s="1"/>
  <c r="J92" i="20" s="1"/>
  <c r="J118" i="20" s="1"/>
  <c r="C32" i="17"/>
  <c r="C43" i="17" s="1"/>
  <c r="C52" i="17" s="1"/>
  <c r="D23" i="17"/>
  <c r="D32" i="17" s="1"/>
  <c r="D43" i="17" s="1"/>
  <c r="D52" i="17" s="1"/>
  <c r="D62" i="17" s="1"/>
  <c r="D71" i="17" s="1"/>
  <c r="D81" i="17" s="1"/>
  <c r="D90" i="17" s="1"/>
  <c r="D100" i="17" s="1"/>
  <c r="D109" i="17" s="1"/>
  <c r="D120" i="17" s="1"/>
  <c r="E31" i="14" s="1"/>
  <c r="F31" i="14" s="1"/>
  <c r="C15" i="17"/>
  <c r="C24" i="17" s="1"/>
  <c r="C33" i="17" s="1"/>
  <c r="C44" i="17" s="1"/>
  <c r="C53" i="17" s="1"/>
  <c r="C63" i="17" s="1"/>
  <c r="C72" i="17" s="1"/>
  <c r="C82" i="17" s="1"/>
  <c r="C91" i="17" s="1"/>
  <c r="C101" i="17" s="1"/>
  <c r="C110" i="17" s="1"/>
  <c r="C121" i="17" s="1"/>
  <c r="D15" i="17"/>
  <c r="D24" i="17" s="1"/>
  <c r="D33" i="17" s="1"/>
  <c r="D44" i="17" s="1"/>
  <c r="D53" i="17" s="1"/>
  <c r="D63" i="17" s="1"/>
  <c r="D72" i="17" s="1"/>
  <c r="D82" i="17" s="1"/>
  <c r="D91" i="17" s="1"/>
  <c r="D101" i="17" s="1"/>
  <c r="D110" i="17" s="1"/>
  <c r="D121" i="17" s="1"/>
  <c r="B14" i="16"/>
  <c r="C14" i="16" s="1"/>
  <c r="D41" i="15"/>
  <c r="D51" i="15" s="1"/>
  <c r="D60" i="15" s="1"/>
  <c r="D70" i="15" s="1"/>
  <c r="D80" i="15" s="1"/>
  <c r="D90" i="15" s="1"/>
  <c r="D100" i="15" s="1"/>
  <c r="D110" i="15" s="1"/>
  <c r="D120" i="15" s="1"/>
  <c r="F14" i="14" s="1"/>
  <c r="F33" i="15"/>
  <c r="F32" i="15"/>
  <c r="F41" i="15" s="1"/>
  <c r="F51" i="15" s="1"/>
  <c r="F60" i="15" s="1"/>
  <c r="F70" i="15" s="1"/>
  <c r="F80" i="15" s="1"/>
  <c r="F90" i="15" s="1"/>
  <c r="F100" i="15" s="1"/>
  <c r="F110" i="15" s="1"/>
  <c r="F120" i="15" s="1"/>
  <c r="E18" i="14" s="1"/>
  <c r="F18" i="14" s="1"/>
  <c r="B8" i="2"/>
  <c r="B47" i="1"/>
  <c r="H67" i="2"/>
  <c r="B61" i="2"/>
  <c r="C33" i="15"/>
  <c r="C42" i="15" s="1"/>
  <c r="C52" i="15" s="1"/>
  <c r="C61" i="15" s="1"/>
  <c r="C71" i="15" s="1"/>
  <c r="C81" i="15" s="1"/>
  <c r="C91" i="15" s="1"/>
  <c r="C101" i="15" s="1"/>
  <c r="C111" i="15" s="1"/>
  <c r="C121" i="15" s="1"/>
  <c r="C32" i="15"/>
  <c r="C41" i="15" s="1"/>
  <c r="G70" i="17"/>
  <c r="AE173" i="19"/>
  <c r="AE331" i="19"/>
  <c r="G17" i="21"/>
  <c r="G35" i="21" s="1"/>
  <c r="G53" i="21" s="1"/>
  <c r="G79" i="21" s="1"/>
  <c r="G99" i="21" s="1"/>
  <c r="G133" i="21" s="1"/>
  <c r="G119" i="25"/>
  <c r="N78" i="19"/>
  <c r="N124" i="19" s="1"/>
  <c r="N174" i="19" s="1"/>
  <c r="N229" i="19" s="1"/>
  <c r="N276" i="19" s="1"/>
  <c r="N332" i="19" s="1"/>
  <c r="N383" i="19" s="1"/>
  <c r="N425" i="19" s="1"/>
  <c r="N488" i="19" s="1"/>
  <c r="N580" i="19" s="1"/>
  <c r="I69" i="15"/>
  <c r="F15" i="17"/>
  <c r="F24" i="17" s="1"/>
  <c r="F33" i="17" s="1"/>
  <c r="F44" i="17" s="1"/>
  <c r="F53" i="17" s="1"/>
  <c r="C14" i="18"/>
  <c r="U49" i="19"/>
  <c r="U79" i="19" s="1"/>
  <c r="U125" i="19" s="1"/>
  <c r="U175" i="19" s="1"/>
  <c r="U230" i="19" s="1"/>
  <c r="C78" i="19"/>
  <c r="C124" i="19" s="1"/>
  <c r="C174" i="19" s="1"/>
  <c r="C229" i="19" s="1"/>
  <c r="C276" i="19" s="1"/>
  <c r="C332" i="19" s="1"/>
  <c r="C383" i="19" s="1"/>
  <c r="C425" i="19" s="1"/>
  <c r="C488" i="19" s="1"/>
  <c r="C580" i="19" s="1"/>
  <c r="E49" i="14" s="1"/>
  <c r="F49" i="14" s="1"/>
  <c r="O78" i="19"/>
  <c r="O124" i="19" s="1"/>
  <c r="O174" i="19" s="1"/>
  <c r="O229" i="19" s="1"/>
  <c r="O276" i="19" s="1"/>
  <c r="O332" i="19" s="1"/>
  <c r="O383" i="19" s="1"/>
  <c r="O425" i="19" s="1"/>
  <c r="O488" i="19" s="1"/>
  <c r="O580" i="19" s="1"/>
  <c r="AC78" i="19"/>
  <c r="AC124" i="19" s="1"/>
  <c r="AC174" i="19" s="1"/>
  <c r="AC229" i="19" s="1"/>
  <c r="AC276" i="19" s="1"/>
  <c r="AC332" i="19" s="1"/>
  <c r="AC383" i="19" s="1"/>
  <c r="AC425" i="19" s="1"/>
  <c r="AC488" i="19" s="1"/>
  <c r="AC580" i="19" s="1"/>
  <c r="J35" i="20"/>
  <c r="J51" i="20" s="1"/>
  <c r="H27" i="22"/>
  <c r="H38" i="22" s="1"/>
  <c r="H49" i="22" s="1"/>
  <c r="H60" i="22" s="1"/>
  <c r="H71" i="22" s="1"/>
  <c r="H82" i="22" s="1"/>
  <c r="H90" i="22" s="1"/>
  <c r="H101" i="22" s="1"/>
  <c r="H112" i="22" s="1"/>
  <c r="H123" i="22" s="1"/>
  <c r="H134" i="22" s="1"/>
  <c r="G75" i="25"/>
  <c r="D20" i="26"/>
  <c r="I126" i="23"/>
  <c r="H101" i="15"/>
  <c r="H111" i="15" s="1"/>
  <c r="H121" i="15" s="1"/>
  <c r="H100" i="15"/>
  <c r="H110" i="15" s="1"/>
  <c r="H120" i="15" s="1"/>
  <c r="E20" i="14" s="1"/>
  <c r="F20" i="14" s="1"/>
  <c r="V49" i="19"/>
  <c r="V79" i="19" s="1"/>
  <c r="V125" i="19" s="1"/>
  <c r="V175" i="19" s="1"/>
  <c r="V230" i="19" s="1"/>
  <c r="D78" i="19"/>
  <c r="D124" i="19" s="1"/>
  <c r="D174" i="19" s="1"/>
  <c r="D229" i="19" s="1"/>
  <c r="D276" i="19" s="1"/>
  <c r="D332" i="19" s="1"/>
  <c r="D383" i="19" s="1"/>
  <c r="D425" i="19" s="1"/>
  <c r="D488" i="19" s="1"/>
  <c r="D580" i="19" s="1"/>
  <c r="P78" i="19"/>
  <c r="P124" i="19" s="1"/>
  <c r="P174" i="19" s="1"/>
  <c r="P229" i="19" s="1"/>
  <c r="P276" i="19" s="1"/>
  <c r="P332" i="19" s="1"/>
  <c r="P383" i="19" s="1"/>
  <c r="P425" i="19" s="1"/>
  <c r="P488" i="19" s="1"/>
  <c r="P580" i="19" s="1"/>
  <c r="AD78" i="19"/>
  <c r="AD124" i="19" s="1"/>
  <c r="AD174" i="19" s="1"/>
  <c r="AD229" i="19" s="1"/>
  <c r="AD276" i="19" s="1"/>
  <c r="AD332" i="19" s="1"/>
  <c r="AD383" i="19" s="1"/>
  <c r="AD425" i="19" s="1"/>
  <c r="AD488" i="19" s="1"/>
  <c r="AD580" i="19" s="1"/>
  <c r="AE275" i="19"/>
  <c r="F21" i="20"/>
  <c r="F36" i="20" s="1"/>
  <c r="F52" i="20" s="1"/>
  <c r="F76" i="20" s="1"/>
  <c r="F92" i="20" s="1"/>
  <c r="F118" i="20" s="1"/>
  <c r="I27" i="22"/>
  <c r="I38" i="22" s="1"/>
  <c r="I49" i="22" s="1"/>
  <c r="D14" i="15"/>
  <c r="D23" i="15" s="1"/>
  <c r="D33" i="15" s="1"/>
  <c r="D42" i="15" s="1"/>
  <c r="D52" i="15" s="1"/>
  <c r="D61" i="15" s="1"/>
  <c r="D71" i="15" s="1"/>
  <c r="D81" i="15" s="1"/>
  <c r="D91" i="15" s="1"/>
  <c r="D101" i="15" s="1"/>
  <c r="D111" i="15" s="1"/>
  <c r="D121" i="15" s="1"/>
  <c r="G98" i="21"/>
  <c r="G132" i="21" s="1"/>
  <c r="G154" i="21" s="1"/>
  <c r="G181" i="21" s="1"/>
  <c r="G203" i="21" s="1"/>
  <c r="G228" i="21" s="1"/>
  <c r="G253" i="21" s="1"/>
  <c r="G280" i="21" s="1"/>
  <c r="E84" i="14" s="1"/>
  <c r="I31" i="15"/>
  <c r="G51" i="17"/>
  <c r="G80" i="17"/>
  <c r="I49" i="19"/>
  <c r="I79" i="19" s="1"/>
  <c r="I125" i="19" s="1"/>
  <c r="I175" i="19" s="1"/>
  <c r="Q124" i="19"/>
  <c r="Q174" i="19" s="1"/>
  <c r="Q229" i="19" s="1"/>
  <c r="Q276" i="19" s="1"/>
  <c r="Q332" i="19" s="1"/>
  <c r="Q383" i="19" s="1"/>
  <c r="Q425" i="19" s="1"/>
  <c r="Q488" i="19" s="1"/>
  <c r="Q580" i="19" s="1"/>
  <c r="E64" i="14" s="1"/>
  <c r="F64" i="14" s="1"/>
  <c r="G21" i="20"/>
  <c r="G36" i="20" s="1"/>
  <c r="G52" i="20" s="1"/>
  <c r="G97" i="25"/>
  <c r="D10" i="1"/>
  <c r="J49" i="19"/>
  <c r="J79" i="19" s="1"/>
  <c r="J125" i="19" s="1"/>
  <c r="J175" i="19" s="1"/>
  <c r="J230" i="19" s="1"/>
  <c r="C67" i="2"/>
  <c r="C58" i="1" s="1"/>
  <c r="L49" i="19"/>
  <c r="L79" i="19" s="1"/>
  <c r="L125" i="19" s="1"/>
  <c r="L175" i="19" s="1"/>
  <c r="L230" i="19" s="1"/>
  <c r="X49" i="19"/>
  <c r="X79" i="19" s="1"/>
  <c r="X125" i="19" s="1"/>
  <c r="X175" i="19" s="1"/>
  <c r="X230" i="19" s="1"/>
  <c r="F125" i="19"/>
  <c r="F175" i="19" s="1"/>
  <c r="F230" i="19" s="1"/>
  <c r="F277" i="19" s="1"/>
  <c r="F333" i="19" s="1"/>
  <c r="F384" i="19" s="1"/>
  <c r="F426" i="19" s="1"/>
  <c r="F489" i="19" s="1"/>
  <c r="F581" i="19" s="1"/>
  <c r="R124" i="19"/>
  <c r="R174" i="19" s="1"/>
  <c r="R229" i="19" s="1"/>
  <c r="R276" i="19" s="1"/>
  <c r="R332" i="19" s="1"/>
  <c r="R383" i="19" s="1"/>
  <c r="R425" i="19" s="1"/>
  <c r="R488" i="19" s="1"/>
  <c r="R580" i="19" s="1"/>
  <c r="E65" i="14" s="1"/>
  <c r="AE47" i="19"/>
  <c r="AE228" i="19"/>
  <c r="I21" i="20"/>
  <c r="I36" i="20" s="1"/>
  <c r="I52" i="20" s="1"/>
  <c r="I76" i="20" s="1"/>
  <c r="I92" i="20" s="1"/>
  <c r="I118" i="20" s="1"/>
  <c r="D21" i="25"/>
  <c r="D32" i="25" s="1"/>
  <c r="D44" i="25" s="1"/>
  <c r="D55" i="25" s="1"/>
  <c r="D66" i="25" s="1"/>
  <c r="D77" i="25" s="1"/>
  <c r="D88" i="25" s="1"/>
  <c r="D99" i="25" s="1"/>
  <c r="D110" i="25" s="1"/>
  <c r="D121" i="25" s="1"/>
  <c r="D132" i="25" s="1"/>
  <c r="D143" i="25" s="1"/>
  <c r="G53" i="25"/>
  <c r="E10" i="1"/>
  <c r="D58" i="2"/>
  <c r="I50" i="15"/>
  <c r="M49" i="19"/>
  <c r="M79" i="19" s="1"/>
  <c r="M125" i="19" s="1"/>
  <c r="M175" i="19" s="1"/>
  <c r="M230" i="19" s="1"/>
  <c r="Y49" i="19"/>
  <c r="Y79" i="19" s="1"/>
  <c r="Y125" i="19" s="1"/>
  <c r="Y175" i="19" s="1"/>
  <c r="Y230" i="19" s="1"/>
  <c r="G383" i="19"/>
  <c r="G425" i="19" s="1"/>
  <c r="G488" i="19" s="1"/>
  <c r="G580" i="19" s="1"/>
  <c r="S383" i="19"/>
  <c r="S425" i="19" s="1"/>
  <c r="S488" i="19" s="1"/>
  <c r="S580" i="19" s="1"/>
  <c r="E66" i="14" s="1"/>
  <c r="H17" i="22"/>
  <c r="H28" i="22" s="1"/>
  <c r="H39" i="22" s="1"/>
  <c r="H50" i="22" s="1"/>
  <c r="H61" i="22" s="1"/>
  <c r="H72" i="22" s="1"/>
  <c r="H83" i="22" s="1"/>
  <c r="H91" i="22" s="1"/>
  <c r="H102" i="22" s="1"/>
  <c r="H113" i="22" s="1"/>
  <c r="H124" i="22" s="1"/>
  <c r="H135" i="22" s="1"/>
  <c r="G30" i="25"/>
  <c r="I117" i="20"/>
  <c r="I131" i="20" s="1"/>
  <c r="I154" i="20" s="1"/>
  <c r="I173" i="20" s="1"/>
  <c r="I195" i="20" s="1"/>
  <c r="I213" i="20" s="1"/>
  <c r="I240" i="20" s="1"/>
  <c r="E96" i="14" s="1"/>
  <c r="J96" i="14" s="1"/>
  <c r="G28" i="22"/>
  <c r="G31" i="17"/>
  <c r="N49" i="19"/>
  <c r="N79" i="19" s="1"/>
  <c r="N125" i="19" s="1"/>
  <c r="N175" i="19" s="1"/>
  <c r="N230" i="19" s="1"/>
  <c r="AB49" i="19"/>
  <c r="AB79" i="19" s="1"/>
  <c r="AB125" i="19" s="1"/>
  <c r="AB175" i="19" s="1"/>
  <c r="AB230" i="19" s="1"/>
  <c r="AB277" i="19" s="1"/>
  <c r="AB333" i="19" s="1"/>
  <c r="AB384" i="19" s="1"/>
  <c r="AB426" i="19" s="1"/>
  <c r="AB489" i="19" s="1"/>
  <c r="AB581" i="19" s="1"/>
  <c r="H49" i="19"/>
  <c r="H79" i="19" s="1"/>
  <c r="H125" i="19" s="1"/>
  <c r="H175" i="19" s="1"/>
  <c r="H230" i="19" s="1"/>
  <c r="H277" i="19" s="1"/>
  <c r="H333" i="19" s="1"/>
  <c r="H384" i="19" s="1"/>
  <c r="H426" i="19" s="1"/>
  <c r="H489" i="19" s="1"/>
  <c r="H581" i="19" s="1"/>
  <c r="T48" i="19"/>
  <c r="T78" i="19" s="1"/>
  <c r="T124" i="19" s="1"/>
  <c r="T174" i="19" s="1"/>
  <c r="T229" i="19" s="1"/>
  <c r="T276" i="19" s="1"/>
  <c r="T332" i="19" s="1"/>
  <c r="T383" i="19" s="1"/>
  <c r="T425" i="19" s="1"/>
  <c r="T488" i="19" s="1"/>
  <c r="T580" i="19" s="1"/>
  <c r="E67" i="14" s="1"/>
  <c r="F79" i="23"/>
  <c r="F128" i="23" s="1"/>
  <c r="F206" i="23" s="1"/>
  <c r="F259" i="23" s="1"/>
  <c r="F289" i="23" s="1"/>
  <c r="F304" i="23" s="1"/>
  <c r="F317" i="23" s="1"/>
  <c r="F344" i="23" s="1"/>
  <c r="F23" i="17"/>
  <c r="F32" i="17" s="1"/>
  <c r="F43" i="17" s="1"/>
  <c r="F52" i="17" s="1"/>
  <c r="H61" i="23"/>
  <c r="H78" i="23" s="1"/>
  <c r="H127" i="23" s="1"/>
  <c r="H205" i="23" s="1"/>
  <c r="H258" i="23" s="1"/>
  <c r="H288" i="23" s="1"/>
  <c r="H303" i="23" s="1"/>
  <c r="H316" i="23" s="1"/>
  <c r="H343" i="23" s="1"/>
  <c r="AB78" i="19"/>
  <c r="AB124" i="19" s="1"/>
  <c r="AB174" i="19" s="1"/>
  <c r="AB229" i="19" s="1"/>
  <c r="AB276" i="19" s="1"/>
  <c r="AB332" i="19" s="1"/>
  <c r="AB383" i="19" s="1"/>
  <c r="AB425" i="19" s="1"/>
  <c r="AB488" i="19" s="1"/>
  <c r="AB580" i="19" s="1"/>
  <c r="B33" i="2"/>
  <c r="G22" i="17"/>
  <c r="G42" i="17"/>
  <c r="I48" i="19"/>
  <c r="I78" i="19" s="1"/>
  <c r="I124" i="19" s="1"/>
  <c r="I174" i="19" s="1"/>
  <c r="I229" i="19" s="1"/>
  <c r="I276" i="19" s="1"/>
  <c r="I332" i="19" s="1"/>
  <c r="I383" i="19" s="1"/>
  <c r="I425" i="19" s="1"/>
  <c r="I488" i="19" s="1"/>
  <c r="I580" i="19" s="1"/>
  <c r="E52" i="14" s="1"/>
  <c r="U48" i="19"/>
  <c r="U78" i="19" s="1"/>
  <c r="U124" i="19" s="1"/>
  <c r="U174" i="19" s="1"/>
  <c r="U229" i="19" s="1"/>
  <c r="U276" i="19" s="1"/>
  <c r="U332" i="19" s="1"/>
  <c r="U383" i="19" s="1"/>
  <c r="U425" i="19" s="1"/>
  <c r="U488" i="19" s="1"/>
  <c r="U580" i="19" s="1"/>
  <c r="E68" i="14" s="1"/>
  <c r="F68" i="14" s="1"/>
  <c r="C51" i="20"/>
  <c r="E17" i="21"/>
  <c r="E35" i="21" s="1"/>
  <c r="E53" i="21" s="1"/>
  <c r="E79" i="21" s="1"/>
  <c r="E99" i="21" s="1"/>
  <c r="E133" i="21" s="1"/>
  <c r="E155" i="21" s="1"/>
  <c r="E182" i="21" s="1"/>
  <c r="E204" i="21" s="1"/>
  <c r="E229" i="21" s="1"/>
  <c r="E254" i="21" s="1"/>
  <c r="E281" i="21" s="1"/>
  <c r="L89" i="22"/>
  <c r="I302" i="23"/>
  <c r="B30" i="24"/>
  <c r="B42" i="24" s="1"/>
  <c r="B53" i="24" s="1"/>
  <c r="B67" i="24" s="1"/>
  <c r="B84" i="24" s="1"/>
  <c r="B107" i="24" s="1"/>
  <c r="B119" i="24" s="1"/>
  <c r="O33" i="2"/>
  <c r="C62" i="17"/>
  <c r="C71" i="17" s="1"/>
  <c r="C81" i="17" s="1"/>
  <c r="C90" i="17" s="1"/>
  <c r="C100" i="17" s="1"/>
  <c r="C109" i="17" s="1"/>
  <c r="C120" i="17" s="1"/>
  <c r="J48" i="19"/>
  <c r="J78" i="19" s="1"/>
  <c r="J124" i="19" s="1"/>
  <c r="J174" i="19" s="1"/>
  <c r="J229" i="19" s="1"/>
  <c r="J276" i="19" s="1"/>
  <c r="J332" i="19" s="1"/>
  <c r="J383" i="19" s="1"/>
  <c r="J425" i="19" s="1"/>
  <c r="J488" i="19" s="1"/>
  <c r="J580" i="19" s="1"/>
  <c r="E53" i="14" s="1"/>
  <c r="J53" i="14" s="1"/>
  <c r="V48" i="19"/>
  <c r="V78" i="19" s="1"/>
  <c r="V124" i="19" s="1"/>
  <c r="V174" i="19" s="1"/>
  <c r="V229" i="19" s="1"/>
  <c r="V276" i="19" s="1"/>
  <c r="V332" i="19" s="1"/>
  <c r="V383" i="19" s="1"/>
  <c r="V425" i="19" s="1"/>
  <c r="V488" i="19" s="1"/>
  <c r="V580" i="19" s="1"/>
  <c r="E69" i="14" s="1"/>
  <c r="E51" i="20"/>
  <c r="E75" i="20" s="1"/>
  <c r="E91" i="20" s="1"/>
  <c r="E117" i="20" s="1"/>
  <c r="E131" i="20" s="1"/>
  <c r="E154" i="20" s="1"/>
  <c r="E173" i="20" s="1"/>
  <c r="E195" i="20" s="1"/>
  <c r="E213" i="20" s="1"/>
  <c r="E240" i="20" s="1"/>
  <c r="E89" i="14" s="1"/>
  <c r="F17" i="21"/>
  <c r="F35" i="21" s="1"/>
  <c r="F53" i="21" s="1"/>
  <c r="F79" i="21" s="1"/>
  <c r="F99" i="21" s="1"/>
  <c r="L122" i="22"/>
  <c r="C42" i="24"/>
  <c r="C53" i="24" s="1"/>
  <c r="C67" i="24" s="1"/>
  <c r="C84" i="24" s="1"/>
  <c r="C107" i="24" s="1"/>
  <c r="C119" i="24" s="1"/>
  <c r="C135" i="24" s="1"/>
  <c r="C163" i="24" s="1"/>
  <c r="C186" i="24" s="1"/>
  <c r="C224" i="24" s="1"/>
  <c r="E122" i="14" s="1"/>
  <c r="F122" i="14" s="1"/>
  <c r="E95" i="3"/>
  <c r="J95" i="3" s="1"/>
  <c r="E96" i="3"/>
  <c r="J96" i="3" s="1"/>
  <c r="J68" i="3"/>
  <c r="J72" i="3"/>
  <c r="J70" i="3"/>
  <c r="B26" i="1"/>
  <c r="B10" i="1"/>
  <c r="C30" i="2"/>
  <c r="C28" i="1" s="1"/>
  <c r="H118" i="14"/>
  <c r="C64" i="2"/>
  <c r="C55" i="1" s="1"/>
  <c r="B15" i="2"/>
  <c r="B14" i="2" s="1"/>
  <c r="H92" i="14"/>
  <c r="H86" i="14" s="1"/>
  <c r="C39" i="1"/>
  <c r="C15" i="1" s="1"/>
  <c r="C22" i="2"/>
  <c r="I104" i="14"/>
  <c r="G267" i="18"/>
  <c r="C66" i="2"/>
  <c r="C57" i="1" s="1"/>
  <c r="C38" i="1"/>
  <c r="C14" i="1" s="1"/>
  <c r="D14" i="18"/>
  <c r="D31" i="18" s="1"/>
  <c r="D50" i="18" s="1"/>
  <c r="D71" i="18" s="1"/>
  <c r="D90" i="18" s="1"/>
  <c r="D116" i="18" s="1"/>
  <c r="D133" i="18" s="1"/>
  <c r="D157" i="18" s="1"/>
  <c r="D175" i="18" s="1"/>
  <c r="D199" i="18" s="1"/>
  <c r="D217" i="18" s="1"/>
  <c r="D269" i="18" s="1"/>
  <c r="G119" i="17"/>
  <c r="K54" i="12"/>
  <c r="K67" i="12" s="1"/>
  <c r="K78" i="12" s="1"/>
  <c r="K87" i="12" s="1"/>
  <c r="K102" i="12" s="1"/>
  <c r="K132" i="12" s="1"/>
  <c r="K155" i="12" s="1"/>
  <c r="K173" i="12" s="1"/>
  <c r="K203" i="12" s="1"/>
  <c r="J53" i="12"/>
  <c r="J66" i="12" s="1"/>
  <c r="J77" i="12" s="1"/>
  <c r="J86" i="12" s="1"/>
  <c r="J101" i="12" s="1"/>
  <c r="J131" i="12" s="1"/>
  <c r="J154" i="12" s="1"/>
  <c r="J172" i="12" s="1"/>
  <c r="J202" i="12" s="1"/>
  <c r="E126" i="3" s="1"/>
  <c r="J126" i="3" s="1"/>
  <c r="L52" i="12"/>
  <c r="L130" i="12"/>
  <c r="K53" i="12"/>
  <c r="K66" i="12" s="1"/>
  <c r="K77" i="12" s="1"/>
  <c r="K86" i="12" s="1"/>
  <c r="K101" i="12" s="1"/>
  <c r="K131" i="12" s="1"/>
  <c r="K154" i="12" s="1"/>
  <c r="K172" i="12" s="1"/>
  <c r="K202" i="12" s="1"/>
  <c r="E127" i="3" s="1"/>
  <c r="E97" i="3"/>
  <c r="J97" i="3" s="1"/>
  <c r="E13" i="1"/>
  <c r="B52" i="1"/>
  <c r="B7" i="2"/>
  <c r="E8" i="1"/>
  <c r="B20" i="2"/>
  <c r="E52" i="1"/>
  <c r="D31" i="1"/>
  <c r="B69" i="2"/>
  <c r="E31" i="3"/>
  <c r="I128" i="14"/>
  <c r="I109" i="15"/>
  <c r="C5" i="16"/>
  <c r="B22" i="16"/>
  <c r="K194" i="20"/>
  <c r="K212" i="20"/>
  <c r="H28" i="23"/>
  <c r="H50" i="23" s="1"/>
  <c r="H62" i="23" s="1"/>
  <c r="H79" i="23" s="1"/>
  <c r="H128" i="23" s="1"/>
  <c r="H206" i="23" s="1"/>
  <c r="H259" i="23" s="1"/>
  <c r="H289" i="23" s="1"/>
  <c r="I60" i="23"/>
  <c r="I342" i="23"/>
  <c r="I29" i="24"/>
  <c r="G64" i="25"/>
  <c r="L171" i="12"/>
  <c r="G49" i="19"/>
  <c r="G79" i="19" s="1"/>
  <c r="G125" i="19" s="1"/>
  <c r="G175" i="19" s="1"/>
  <c r="G230" i="19" s="1"/>
  <c r="G277" i="19" s="1"/>
  <c r="G333" i="19" s="1"/>
  <c r="G384" i="19" s="1"/>
  <c r="G426" i="19" s="1"/>
  <c r="G489" i="19" s="1"/>
  <c r="G581" i="19" s="1"/>
  <c r="L48" i="22"/>
  <c r="I15" i="23"/>
  <c r="J61" i="14"/>
  <c r="F30" i="18"/>
  <c r="F49" i="18" s="1"/>
  <c r="F70" i="18" s="1"/>
  <c r="F89" i="18" s="1"/>
  <c r="F115" i="18" s="1"/>
  <c r="F132" i="18" s="1"/>
  <c r="F156" i="18" s="1"/>
  <c r="F174" i="18" s="1"/>
  <c r="F198" i="18" s="1"/>
  <c r="F216" i="18" s="1"/>
  <c r="F268" i="18" s="1"/>
  <c r="E45" i="14" s="1"/>
  <c r="I227" i="21"/>
  <c r="G39" i="22"/>
  <c r="G50" i="22" s="1"/>
  <c r="G61" i="22" s="1"/>
  <c r="G72" i="22" s="1"/>
  <c r="G83" i="22" s="1"/>
  <c r="G91" i="22" s="1"/>
  <c r="G102" i="22" s="1"/>
  <c r="G113" i="22" s="1"/>
  <c r="G124" i="22" s="1"/>
  <c r="G135" i="22" s="1"/>
  <c r="I17" i="22"/>
  <c r="I28" i="22" s="1"/>
  <c r="I39" i="22" s="1"/>
  <c r="I50" i="22" s="1"/>
  <c r="I61" i="22" s="1"/>
  <c r="I72" i="22" s="1"/>
  <c r="I83" i="22" s="1"/>
  <c r="I91" i="22" s="1"/>
  <c r="I102" i="22" s="1"/>
  <c r="I113" i="22" s="1"/>
  <c r="I124" i="22" s="1"/>
  <c r="I135" i="22" s="1"/>
  <c r="E16" i="23"/>
  <c r="I26" i="23"/>
  <c r="D31" i="25"/>
  <c r="D43" i="25" s="1"/>
  <c r="D54" i="25" s="1"/>
  <c r="D65" i="25" s="1"/>
  <c r="D76" i="25" s="1"/>
  <c r="D87" i="25" s="1"/>
  <c r="D98" i="25" s="1"/>
  <c r="D109" i="25" s="1"/>
  <c r="D120" i="25" s="1"/>
  <c r="D131" i="25" s="1"/>
  <c r="D142" i="25" s="1"/>
  <c r="E131" i="14" s="1"/>
  <c r="E53" i="12"/>
  <c r="L76" i="12"/>
  <c r="J113" i="14"/>
  <c r="J112" i="14" s="1"/>
  <c r="D49" i="18"/>
  <c r="D70" i="18" s="1"/>
  <c r="D89" i="18" s="1"/>
  <c r="D115" i="18" s="1"/>
  <c r="D132" i="18" s="1"/>
  <c r="D156" i="18" s="1"/>
  <c r="D174" i="18" s="1"/>
  <c r="D198" i="18" s="1"/>
  <c r="D216" i="18" s="1"/>
  <c r="D268" i="18" s="1"/>
  <c r="E41" i="14" s="1"/>
  <c r="G29" i="18"/>
  <c r="H21" i="20"/>
  <c r="J17" i="22"/>
  <c r="J28" i="22" s="1"/>
  <c r="J39" i="22" s="1"/>
  <c r="J50" i="22" s="1"/>
  <c r="J61" i="22" s="1"/>
  <c r="J72" i="22" s="1"/>
  <c r="J83" i="22" s="1"/>
  <c r="J91" i="22" s="1"/>
  <c r="J102" i="22" s="1"/>
  <c r="J113" i="22" s="1"/>
  <c r="J124" i="22" s="1"/>
  <c r="J135" i="22" s="1"/>
  <c r="L26" i="22"/>
  <c r="L70" i="22"/>
  <c r="F61" i="23"/>
  <c r="F78" i="23" s="1"/>
  <c r="F127" i="23" s="1"/>
  <c r="F205" i="23" s="1"/>
  <c r="F258" i="23" s="1"/>
  <c r="F288" i="23" s="1"/>
  <c r="F303" i="23" s="1"/>
  <c r="F316" i="23" s="1"/>
  <c r="F343" i="23" s="1"/>
  <c r="I48" i="23"/>
  <c r="I315" i="23"/>
  <c r="H31" i="24"/>
  <c r="H43" i="24" s="1"/>
  <c r="H54" i="24" s="1"/>
  <c r="H68" i="24" s="1"/>
  <c r="H85" i="24" s="1"/>
  <c r="H108" i="24" s="1"/>
  <c r="H120" i="24" s="1"/>
  <c r="H136" i="24" s="1"/>
  <c r="H164" i="24" s="1"/>
  <c r="H187" i="24" s="1"/>
  <c r="H225" i="24" s="1"/>
  <c r="I118" i="24"/>
  <c r="E54" i="25"/>
  <c r="E65" i="25" s="1"/>
  <c r="E76" i="25" s="1"/>
  <c r="E87" i="25" s="1"/>
  <c r="E98" i="25" s="1"/>
  <c r="E109" i="25" s="1"/>
  <c r="E120" i="25" s="1"/>
  <c r="E131" i="25" s="1"/>
  <c r="E142" i="25" s="1"/>
  <c r="E132" i="14" s="1"/>
  <c r="E15" i="17"/>
  <c r="E24" i="17" s="1"/>
  <c r="E33" i="17" s="1"/>
  <c r="E44" i="17" s="1"/>
  <c r="E53" i="17" s="1"/>
  <c r="E63" i="17" s="1"/>
  <c r="E72" i="17" s="1"/>
  <c r="E82" i="17" s="1"/>
  <c r="E91" i="17" s="1"/>
  <c r="E101" i="17" s="1"/>
  <c r="E110" i="17" s="1"/>
  <c r="E121" i="17" s="1"/>
  <c r="G89" i="17"/>
  <c r="G99" i="17"/>
  <c r="J75" i="20"/>
  <c r="J91" i="20" s="1"/>
  <c r="J117" i="20" s="1"/>
  <c r="J131" i="20" s="1"/>
  <c r="J154" i="20" s="1"/>
  <c r="J173" i="20" s="1"/>
  <c r="J195" i="20" s="1"/>
  <c r="J213" i="20" s="1"/>
  <c r="J240" i="20" s="1"/>
  <c r="E97" i="14" s="1"/>
  <c r="I77" i="21"/>
  <c r="I60" i="22"/>
  <c r="I71" i="22" s="1"/>
  <c r="I82" i="22" s="1"/>
  <c r="I90" i="22" s="1"/>
  <c r="I101" i="22" s="1"/>
  <c r="I112" i="22" s="1"/>
  <c r="I123" i="22" s="1"/>
  <c r="I134" i="22" s="1"/>
  <c r="G49" i="23"/>
  <c r="G61" i="23" s="1"/>
  <c r="G78" i="23" s="1"/>
  <c r="G127" i="23" s="1"/>
  <c r="I77" i="23"/>
  <c r="I257" i="23"/>
  <c r="G14" i="24"/>
  <c r="G30" i="24" s="1"/>
  <c r="G42" i="24" s="1"/>
  <c r="G53" i="24" s="1"/>
  <c r="G67" i="24" s="1"/>
  <c r="G84" i="24" s="1"/>
  <c r="G107" i="24" s="1"/>
  <c r="G119" i="24" s="1"/>
  <c r="G135" i="24" s="1"/>
  <c r="G163" i="24" s="1"/>
  <c r="G186" i="24" s="1"/>
  <c r="G224" i="24" s="1"/>
  <c r="E126" i="14" s="1"/>
  <c r="F31" i="25"/>
  <c r="F43" i="25" s="1"/>
  <c r="F54" i="25" s="1"/>
  <c r="F65" i="25" s="1"/>
  <c r="F76" i="25" s="1"/>
  <c r="F87" i="25" s="1"/>
  <c r="F98" i="25" s="1"/>
  <c r="F109" i="25" s="1"/>
  <c r="F120" i="25" s="1"/>
  <c r="F131" i="25" s="1"/>
  <c r="F142" i="25" s="1"/>
  <c r="E133" i="14" s="1"/>
  <c r="F133" i="14" s="1"/>
  <c r="I89" i="15"/>
  <c r="I99" i="15"/>
  <c r="H48" i="19"/>
  <c r="H78" i="19" s="1"/>
  <c r="H124" i="19" s="1"/>
  <c r="H174" i="19" s="1"/>
  <c r="H229" i="19" s="1"/>
  <c r="H276" i="19" s="1"/>
  <c r="H332" i="19" s="1"/>
  <c r="H383" i="19" s="1"/>
  <c r="H425" i="19" s="1"/>
  <c r="H488" i="19" s="1"/>
  <c r="H580" i="19" s="1"/>
  <c r="AE382" i="19"/>
  <c r="K50" i="20"/>
  <c r="K116" i="20"/>
  <c r="K172" i="20"/>
  <c r="I15" i="21"/>
  <c r="I83" i="24"/>
  <c r="L201" i="12"/>
  <c r="J55" i="14"/>
  <c r="H100" i="14"/>
  <c r="H99" i="14" s="1"/>
  <c r="H98" i="14" s="1"/>
  <c r="D134" i="14"/>
  <c r="K90" i="20"/>
  <c r="K130" i="20"/>
  <c r="B15" i="24"/>
  <c r="B31" i="24" s="1"/>
  <c r="B43" i="24" s="1"/>
  <c r="B54" i="24" s="1"/>
  <c r="G108" i="25"/>
  <c r="E89" i="3"/>
  <c r="J89" i="3" s="1"/>
  <c r="E14" i="18"/>
  <c r="E31" i="18" s="1"/>
  <c r="E50" i="18" s="1"/>
  <c r="E71" i="18" s="1"/>
  <c r="E90" i="18" s="1"/>
  <c r="E116" i="18" s="1"/>
  <c r="E133" i="18" s="1"/>
  <c r="E157" i="18" s="1"/>
  <c r="E175" i="18" s="1"/>
  <c r="E199" i="18" s="1"/>
  <c r="E217" i="18" s="1"/>
  <c r="E269" i="18" s="1"/>
  <c r="K48" i="19"/>
  <c r="K78" i="19" s="1"/>
  <c r="K124" i="19" s="1"/>
  <c r="K174" i="19" s="1"/>
  <c r="K229" i="19" s="1"/>
  <c r="K276" i="19" s="1"/>
  <c r="K332" i="19" s="1"/>
  <c r="K383" i="19" s="1"/>
  <c r="K425" i="19" s="1"/>
  <c r="K488" i="19" s="1"/>
  <c r="K580" i="19" s="1"/>
  <c r="E54" i="14" s="1"/>
  <c r="I33" i="21"/>
  <c r="I51" i="21"/>
  <c r="G16" i="22"/>
  <c r="G27" i="22" s="1"/>
  <c r="G38" i="22" s="1"/>
  <c r="G49" i="22" s="1"/>
  <c r="G60" i="22" s="1"/>
  <c r="G71" i="22" s="1"/>
  <c r="G82" i="22" s="1"/>
  <c r="G90" i="22" s="1"/>
  <c r="G101" i="22" s="1"/>
  <c r="G112" i="22" s="1"/>
  <c r="G123" i="22" s="1"/>
  <c r="G134" i="22" s="1"/>
  <c r="L111" i="22"/>
  <c r="G28" i="23"/>
  <c r="G50" i="23" s="1"/>
  <c r="G62" i="23" s="1"/>
  <c r="G79" i="23" s="1"/>
  <c r="G128" i="23" s="1"/>
  <c r="I52" i="24"/>
  <c r="T49" i="19"/>
  <c r="T79" i="19" s="1"/>
  <c r="T125" i="19" s="1"/>
  <c r="T175" i="19" s="1"/>
  <c r="T230" i="19" s="1"/>
  <c r="G131" i="18"/>
  <c r="G155" i="18"/>
  <c r="G48" i="18"/>
  <c r="G88" i="18"/>
  <c r="G197" i="18"/>
  <c r="L133" i="22"/>
  <c r="E31" i="1"/>
  <c r="E41" i="1" s="1"/>
  <c r="I185" i="24"/>
  <c r="I162" i="24"/>
  <c r="E108" i="14"/>
  <c r="I80" i="14"/>
  <c r="I78" i="14"/>
  <c r="I92" i="14"/>
  <c r="J134" i="14"/>
  <c r="J29" i="14"/>
  <c r="I87" i="14"/>
  <c r="I57" i="14"/>
  <c r="F58" i="1"/>
  <c r="J106" i="14"/>
  <c r="J109" i="14"/>
  <c r="J108" i="14" s="1"/>
  <c r="K67" i="2"/>
  <c r="G108" i="17"/>
  <c r="G215" i="18"/>
  <c r="J56" i="3"/>
  <c r="H10" i="14"/>
  <c r="D57" i="2"/>
  <c r="E57" i="2" s="1"/>
  <c r="B13" i="1"/>
  <c r="I10" i="2"/>
  <c r="B12" i="1"/>
  <c r="D9" i="1"/>
  <c r="D8" i="1" s="1"/>
  <c r="D13" i="1"/>
  <c r="H64" i="2"/>
  <c r="D12" i="1"/>
  <c r="B14" i="1"/>
  <c r="M58" i="2"/>
  <c r="N58" i="2" s="1"/>
  <c r="F49" i="1"/>
  <c r="F58" i="2"/>
  <c r="E58" i="2"/>
  <c r="B43" i="2"/>
  <c r="J58" i="2"/>
  <c r="G58" i="2"/>
  <c r="G10" i="2" s="1"/>
  <c r="I58" i="2"/>
  <c r="D41" i="1"/>
  <c r="D10" i="2"/>
  <c r="K58" i="2"/>
  <c r="L58" i="2" s="1"/>
  <c r="C10" i="2"/>
  <c r="J64" i="3"/>
  <c r="J63" i="3" s="1"/>
  <c r="C39" i="2"/>
  <c r="E94" i="3"/>
  <c r="J94" i="3" s="1"/>
  <c r="F53" i="12"/>
  <c r="F66" i="12" s="1"/>
  <c r="F77" i="12" s="1"/>
  <c r="F86" i="12" s="1"/>
  <c r="F101" i="12" s="1"/>
  <c r="F131" i="12" s="1"/>
  <c r="F154" i="12" s="1"/>
  <c r="F172" i="12" s="1"/>
  <c r="F202" i="12" s="1"/>
  <c r="E122" i="3" s="1"/>
  <c r="J122" i="3" s="1"/>
  <c r="G54" i="12"/>
  <c r="G67" i="12" s="1"/>
  <c r="G78" i="12" s="1"/>
  <c r="G87" i="12" s="1"/>
  <c r="G102" i="12" s="1"/>
  <c r="G132" i="12" s="1"/>
  <c r="G155" i="12" s="1"/>
  <c r="G173" i="12" s="1"/>
  <c r="G203" i="12" s="1"/>
  <c r="G53" i="12"/>
  <c r="G66" i="12" s="1"/>
  <c r="G77" i="12" s="1"/>
  <c r="G86" i="12" s="1"/>
  <c r="G101" i="12" s="1"/>
  <c r="G131" i="12" s="1"/>
  <c r="G154" i="12" s="1"/>
  <c r="G172" i="12" s="1"/>
  <c r="G202" i="12" s="1"/>
  <c r="E123" i="3" s="1"/>
  <c r="J123" i="3" s="1"/>
  <c r="E93" i="3"/>
  <c r="J93" i="3" s="1"/>
  <c r="H53" i="12"/>
  <c r="H66" i="12" s="1"/>
  <c r="H77" i="12" s="1"/>
  <c r="H86" i="12" s="1"/>
  <c r="H101" i="12" s="1"/>
  <c r="H131" i="12" s="1"/>
  <c r="H54" i="12"/>
  <c r="H67" i="12" s="1"/>
  <c r="H78" i="12" s="1"/>
  <c r="H87" i="12" s="1"/>
  <c r="H102" i="12" s="1"/>
  <c r="H132" i="12" s="1"/>
  <c r="H155" i="12" s="1"/>
  <c r="H173" i="12" s="1"/>
  <c r="H203" i="12" s="1"/>
  <c r="L100" i="12"/>
  <c r="B49" i="19"/>
  <c r="I53" i="12"/>
  <c r="I66" i="12" s="1"/>
  <c r="I77" i="12" s="1"/>
  <c r="I86" i="12" s="1"/>
  <c r="I101" i="12" s="1"/>
  <c r="I131" i="12" s="1"/>
  <c r="I154" i="12" s="1"/>
  <c r="I172" i="12" s="1"/>
  <c r="I202" i="12" s="1"/>
  <c r="E125" i="3" s="1"/>
  <c r="J125" i="3" s="1"/>
  <c r="I54" i="12"/>
  <c r="I67" i="12" s="1"/>
  <c r="I78" i="12" s="1"/>
  <c r="I87" i="12" s="1"/>
  <c r="I102" i="12" s="1"/>
  <c r="I132" i="12" s="1"/>
  <c r="I155" i="12" s="1"/>
  <c r="I173" i="12" s="1"/>
  <c r="I203" i="12" s="1"/>
  <c r="B23" i="15"/>
  <c r="I14" i="15"/>
  <c r="B22" i="15"/>
  <c r="J59" i="14"/>
  <c r="I59" i="14"/>
  <c r="L153" i="12"/>
  <c r="L85" i="12"/>
  <c r="H25" i="14"/>
  <c r="I60" i="14"/>
  <c r="F62" i="17"/>
  <c r="F71" i="17" s="1"/>
  <c r="F81" i="17" s="1"/>
  <c r="F90" i="17" s="1"/>
  <c r="F100" i="17" s="1"/>
  <c r="F109" i="17" s="1"/>
  <c r="F120" i="17" s="1"/>
  <c r="H47" i="14"/>
  <c r="I48" i="14"/>
  <c r="F63" i="17"/>
  <c r="F72" i="17" s="1"/>
  <c r="F82" i="17" s="1"/>
  <c r="F91" i="17" s="1"/>
  <c r="F101" i="17" s="1"/>
  <c r="F110" i="17" s="1"/>
  <c r="F121" i="17" s="1"/>
  <c r="E109" i="17"/>
  <c r="E120" i="17" s="1"/>
  <c r="E32" i="14" s="1"/>
  <c r="I91" i="14"/>
  <c r="J91" i="14"/>
  <c r="G15" i="17"/>
  <c r="B24" i="17"/>
  <c r="F14" i="18"/>
  <c r="F31" i="18" s="1"/>
  <c r="F50" i="18" s="1"/>
  <c r="F71" i="18" s="1"/>
  <c r="F90" i="18" s="1"/>
  <c r="F116" i="18" s="1"/>
  <c r="F133" i="18" s="1"/>
  <c r="F157" i="18" s="1"/>
  <c r="F175" i="18" s="1"/>
  <c r="F199" i="18" s="1"/>
  <c r="F217" i="18" s="1"/>
  <c r="F269" i="18" s="1"/>
  <c r="L65" i="12"/>
  <c r="H51" i="14"/>
  <c r="J62" i="14"/>
  <c r="I62" i="14"/>
  <c r="B30" i="16"/>
  <c r="C22" i="16"/>
  <c r="J44" i="14"/>
  <c r="I44" i="14"/>
  <c r="F54" i="12"/>
  <c r="F67" i="12" s="1"/>
  <c r="F78" i="12" s="1"/>
  <c r="F87" i="12" s="1"/>
  <c r="F102" i="12" s="1"/>
  <c r="F132" i="12" s="1"/>
  <c r="F155" i="12" s="1"/>
  <c r="F173" i="12" s="1"/>
  <c r="F203" i="12" s="1"/>
  <c r="I79" i="15"/>
  <c r="I43" i="14"/>
  <c r="I58" i="14"/>
  <c r="I81" i="14"/>
  <c r="I100" i="14"/>
  <c r="I99" i="14" s="1"/>
  <c r="I98" i="14" s="1"/>
  <c r="E112" i="14"/>
  <c r="F42" i="15"/>
  <c r="F52" i="15" s="1"/>
  <c r="F61" i="15" s="1"/>
  <c r="F71" i="15" s="1"/>
  <c r="F81" i="15" s="1"/>
  <c r="F91" i="15" s="1"/>
  <c r="F101" i="15" s="1"/>
  <c r="F111" i="15" s="1"/>
  <c r="F121" i="15" s="1"/>
  <c r="G173" i="18"/>
  <c r="Y124" i="19"/>
  <c r="Y174" i="19" s="1"/>
  <c r="Y229" i="19" s="1"/>
  <c r="Y276" i="19" s="1"/>
  <c r="Y332" i="19" s="1"/>
  <c r="Y383" i="19" s="1"/>
  <c r="Y425" i="19" s="1"/>
  <c r="Y488" i="19" s="1"/>
  <c r="Y580" i="19" s="1"/>
  <c r="E73" i="14" s="1"/>
  <c r="F73" i="14" s="1"/>
  <c r="G23" i="15"/>
  <c r="G33" i="15" s="1"/>
  <c r="G42" i="15" s="1"/>
  <c r="G52" i="15" s="1"/>
  <c r="G61" i="15" s="1"/>
  <c r="G71" i="15" s="1"/>
  <c r="G81" i="15" s="1"/>
  <c r="G91" i="15" s="1"/>
  <c r="G101" i="15" s="1"/>
  <c r="G111" i="15" s="1"/>
  <c r="G121" i="15" s="1"/>
  <c r="I12" i="15"/>
  <c r="G13" i="15"/>
  <c r="G22" i="15" s="1"/>
  <c r="G32" i="15" s="1"/>
  <c r="G41" i="15" s="1"/>
  <c r="G51" i="15" s="1"/>
  <c r="G60" i="15" s="1"/>
  <c r="G70" i="15" s="1"/>
  <c r="G80" i="15" s="1"/>
  <c r="G90" i="15" s="1"/>
  <c r="G100" i="15" s="1"/>
  <c r="G110" i="15" s="1"/>
  <c r="G120" i="15" s="1"/>
  <c r="I21" i="15"/>
  <c r="I119" i="15"/>
  <c r="J54" i="12"/>
  <c r="J67" i="12" s="1"/>
  <c r="J78" i="12" s="1"/>
  <c r="J87" i="12" s="1"/>
  <c r="J102" i="12" s="1"/>
  <c r="J132" i="12" s="1"/>
  <c r="J155" i="12" s="1"/>
  <c r="J173" i="12" s="1"/>
  <c r="J203" i="12" s="1"/>
  <c r="B13" i="16"/>
  <c r="C12" i="16"/>
  <c r="B14" i="17"/>
  <c r="G13" i="17"/>
  <c r="B34" i="21"/>
  <c r="I16" i="21"/>
  <c r="I59" i="15"/>
  <c r="C30" i="18"/>
  <c r="G13" i="18"/>
  <c r="E110" i="14"/>
  <c r="J111" i="14"/>
  <c r="J110" i="14" s="1"/>
  <c r="G61" i="17"/>
  <c r="H39" i="14"/>
  <c r="I120" i="14"/>
  <c r="I119" i="14" s="1"/>
  <c r="I118" i="14" s="1"/>
  <c r="C31" i="18"/>
  <c r="G114" i="18"/>
  <c r="G76" i="20"/>
  <c r="G92" i="20" s="1"/>
  <c r="G118" i="20" s="1"/>
  <c r="F14" i="24"/>
  <c r="F30" i="24" s="1"/>
  <c r="F42" i="24" s="1"/>
  <c r="F53" i="24" s="1"/>
  <c r="F67" i="24" s="1"/>
  <c r="F84" i="24" s="1"/>
  <c r="F107" i="24" s="1"/>
  <c r="F119" i="24" s="1"/>
  <c r="F135" i="24" s="1"/>
  <c r="F163" i="24" s="1"/>
  <c r="F186" i="24" s="1"/>
  <c r="F224" i="24" s="1"/>
  <c r="E125" i="14" s="1"/>
  <c r="F125" i="14" s="1"/>
  <c r="F15" i="24"/>
  <c r="F31" i="24" s="1"/>
  <c r="F43" i="24" s="1"/>
  <c r="F54" i="24" s="1"/>
  <c r="F68" i="24" s="1"/>
  <c r="F85" i="24" s="1"/>
  <c r="F108" i="24" s="1"/>
  <c r="F120" i="24" s="1"/>
  <c r="F136" i="24" s="1"/>
  <c r="F164" i="24" s="1"/>
  <c r="F187" i="24" s="1"/>
  <c r="F225" i="24" s="1"/>
  <c r="B48" i="19"/>
  <c r="D16" i="22"/>
  <c r="D27" i="22" s="1"/>
  <c r="D38" i="22" s="1"/>
  <c r="D49" i="22" s="1"/>
  <c r="D60" i="22" s="1"/>
  <c r="D71" i="22" s="1"/>
  <c r="D82" i="22" s="1"/>
  <c r="D90" i="22" s="1"/>
  <c r="D101" i="22" s="1"/>
  <c r="D112" i="22" s="1"/>
  <c r="D123" i="22" s="1"/>
  <c r="D134" i="22" s="1"/>
  <c r="E105" i="14" s="1"/>
  <c r="F105" i="14" s="1"/>
  <c r="F104" i="14" s="1"/>
  <c r="F100" i="14" s="1"/>
  <c r="F99" i="14" s="1"/>
  <c r="F98" i="14" s="1"/>
  <c r="D17" i="22"/>
  <c r="D28" i="22" s="1"/>
  <c r="D39" i="22" s="1"/>
  <c r="D50" i="22" s="1"/>
  <c r="D61" i="22" s="1"/>
  <c r="D72" i="22" s="1"/>
  <c r="E48" i="19"/>
  <c r="E78" i="19" s="1"/>
  <c r="E124" i="19" s="1"/>
  <c r="E174" i="19" s="1"/>
  <c r="E229" i="19" s="1"/>
  <c r="E276" i="19" s="1"/>
  <c r="E332" i="19" s="1"/>
  <c r="E383" i="19" s="1"/>
  <c r="E425" i="19" s="1"/>
  <c r="E488" i="19" s="1"/>
  <c r="E580" i="19" s="1"/>
  <c r="F48" i="19"/>
  <c r="F78" i="19" s="1"/>
  <c r="F124" i="19" s="1"/>
  <c r="F174" i="19" s="1"/>
  <c r="F229" i="19" s="1"/>
  <c r="F276" i="19" s="1"/>
  <c r="F332" i="19" s="1"/>
  <c r="F383" i="19" s="1"/>
  <c r="F425" i="19" s="1"/>
  <c r="F488" i="19" s="1"/>
  <c r="F580" i="19" s="1"/>
  <c r="F135" i="14"/>
  <c r="F134" i="14" s="1"/>
  <c r="K34" i="20"/>
  <c r="K74" i="20"/>
  <c r="H34" i="21"/>
  <c r="H52" i="21" s="1"/>
  <c r="H78" i="21" s="1"/>
  <c r="H98" i="21" s="1"/>
  <c r="H132" i="21" s="1"/>
  <c r="H154" i="21" s="1"/>
  <c r="H181" i="21" s="1"/>
  <c r="H203" i="21" s="1"/>
  <c r="H228" i="21" s="1"/>
  <c r="H253" i="21" s="1"/>
  <c r="H280" i="21" s="1"/>
  <c r="E85" i="14" s="1"/>
  <c r="J85" i="14" s="1"/>
  <c r="E27" i="23"/>
  <c r="I16" i="23"/>
  <c r="G12" i="18"/>
  <c r="E49" i="19"/>
  <c r="E79" i="19" s="1"/>
  <c r="E125" i="19" s="1"/>
  <c r="E175" i="19" s="1"/>
  <c r="E230" i="19" s="1"/>
  <c r="E277" i="19" s="1"/>
  <c r="E333" i="19" s="1"/>
  <c r="E384" i="19" s="1"/>
  <c r="E426" i="19" s="1"/>
  <c r="E489" i="19" s="1"/>
  <c r="E581" i="19" s="1"/>
  <c r="AE123" i="19"/>
  <c r="AE579" i="19"/>
  <c r="K153" i="20"/>
  <c r="E132" i="21"/>
  <c r="E154" i="21" s="1"/>
  <c r="E181" i="21" s="1"/>
  <c r="E203" i="21" s="1"/>
  <c r="E228" i="21" s="1"/>
  <c r="E253" i="21" s="1"/>
  <c r="E280" i="21" s="1"/>
  <c r="E82" i="14" s="1"/>
  <c r="F82" i="14" s="1"/>
  <c r="AE424" i="19"/>
  <c r="K239" i="20"/>
  <c r="AE487" i="19"/>
  <c r="K20" i="20"/>
  <c r="B35" i="20"/>
  <c r="H35" i="21"/>
  <c r="H53" i="21" s="1"/>
  <c r="H79" i="21" s="1"/>
  <c r="H99" i="21" s="1"/>
  <c r="H133" i="21" s="1"/>
  <c r="L37" i="22"/>
  <c r="L100" i="22"/>
  <c r="I66" i="24"/>
  <c r="C32" i="25"/>
  <c r="E50" i="23"/>
  <c r="I202" i="21"/>
  <c r="J27" i="22"/>
  <c r="J38" i="22" s="1"/>
  <c r="J49" i="22" s="1"/>
  <c r="J60" i="22" s="1"/>
  <c r="J71" i="22" s="1"/>
  <c r="J82" i="22" s="1"/>
  <c r="J90" i="22" s="1"/>
  <c r="J101" i="22" s="1"/>
  <c r="J112" i="22" s="1"/>
  <c r="J123" i="22" s="1"/>
  <c r="J134" i="22" s="1"/>
  <c r="I204" i="23"/>
  <c r="K27" i="22"/>
  <c r="K38" i="22" s="1"/>
  <c r="K49" i="22" s="1"/>
  <c r="K60" i="22" s="1"/>
  <c r="K71" i="22" s="1"/>
  <c r="K82" i="22" s="1"/>
  <c r="K90" i="22" s="1"/>
  <c r="K101" i="22" s="1"/>
  <c r="K112" i="22" s="1"/>
  <c r="K123" i="22" s="1"/>
  <c r="K134" i="22" s="1"/>
  <c r="E117" i="14" s="1"/>
  <c r="F117" i="14" s="1"/>
  <c r="F116" i="14" s="1"/>
  <c r="L59" i="22"/>
  <c r="I41" i="24"/>
  <c r="G86" i="25"/>
  <c r="I153" i="21"/>
  <c r="F16" i="22"/>
  <c r="F27" i="22" s="1"/>
  <c r="F38" i="22" s="1"/>
  <c r="F49" i="22" s="1"/>
  <c r="F60" i="22" s="1"/>
  <c r="F71" i="22" s="1"/>
  <c r="F82" i="22" s="1"/>
  <c r="F90" i="22" s="1"/>
  <c r="F101" i="22" s="1"/>
  <c r="F112" i="22" s="1"/>
  <c r="F123" i="22" s="1"/>
  <c r="F134" i="22" s="1"/>
  <c r="I17" i="23"/>
  <c r="L4" i="23"/>
  <c r="B135" i="24"/>
  <c r="I131" i="21"/>
  <c r="I223" i="24"/>
  <c r="C20" i="25"/>
  <c r="G19" i="25"/>
  <c r="K19" i="20"/>
  <c r="I279" i="21"/>
  <c r="B27" i="22"/>
  <c r="L81" i="22"/>
  <c r="H304" i="23"/>
  <c r="H317" i="23" s="1"/>
  <c r="H344" i="23" s="1"/>
  <c r="D14" i="24"/>
  <c r="D30" i="24" s="1"/>
  <c r="D42" i="24" s="1"/>
  <c r="D53" i="24" s="1"/>
  <c r="D67" i="24" s="1"/>
  <c r="D84" i="24" s="1"/>
  <c r="D107" i="24" s="1"/>
  <c r="D119" i="24" s="1"/>
  <c r="D135" i="24" s="1"/>
  <c r="D163" i="24" s="1"/>
  <c r="D186" i="24" s="1"/>
  <c r="D224" i="24" s="1"/>
  <c r="E123" i="14" s="1"/>
  <c r="F123" i="14" s="1"/>
  <c r="D15" i="24"/>
  <c r="D31" i="24" s="1"/>
  <c r="D43" i="24" s="1"/>
  <c r="D54" i="24" s="1"/>
  <c r="D68" i="24" s="1"/>
  <c r="D85" i="24" s="1"/>
  <c r="D108" i="24" s="1"/>
  <c r="D120" i="24" s="1"/>
  <c r="D136" i="24" s="1"/>
  <c r="D164" i="24" s="1"/>
  <c r="D187" i="24" s="1"/>
  <c r="D225" i="24" s="1"/>
  <c r="I106" i="24"/>
  <c r="I252" i="21"/>
  <c r="C16" i="22"/>
  <c r="C27" i="22" s="1"/>
  <c r="C38" i="22" s="1"/>
  <c r="C49" i="22" s="1"/>
  <c r="C60" i="22" s="1"/>
  <c r="C71" i="22" s="1"/>
  <c r="C82" i="22" s="1"/>
  <c r="C90" i="22" s="1"/>
  <c r="C101" i="22" s="1"/>
  <c r="C112" i="22" s="1"/>
  <c r="C123" i="22" s="1"/>
  <c r="C134" i="22" s="1"/>
  <c r="C17" i="22"/>
  <c r="C28" i="22" s="1"/>
  <c r="C39" i="22" s="1"/>
  <c r="C50" i="22" s="1"/>
  <c r="C61" i="22" s="1"/>
  <c r="C72" i="22" s="1"/>
  <c r="C83" i="22" s="1"/>
  <c r="C91" i="22" s="1"/>
  <c r="C102" i="22" s="1"/>
  <c r="C113" i="22" s="1"/>
  <c r="C124" i="22" s="1"/>
  <c r="C135" i="22" s="1"/>
  <c r="G204" i="23"/>
  <c r="G206" i="23" s="1"/>
  <c r="G259" i="23" s="1"/>
  <c r="G289" i="23" s="1"/>
  <c r="G304" i="23" s="1"/>
  <c r="G317" i="23" s="1"/>
  <c r="G344" i="23" s="1"/>
  <c r="E14" i="24"/>
  <c r="E30" i="24" s="1"/>
  <c r="E42" i="24" s="1"/>
  <c r="E53" i="24" s="1"/>
  <c r="E67" i="24" s="1"/>
  <c r="E84" i="24" s="1"/>
  <c r="E107" i="24" s="1"/>
  <c r="E119" i="24" s="1"/>
  <c r="E135" i="24" s="1"/>
  <c r="E163" i="24" s="1"/>
  <c r="E186" i="24" s="1"/>
  <c r="E224" i="24" s="1"/>
  <c r="E124" i="14" s="1"/>
  <c r="F124" i="14" s="1"/>
  <c r="E15" i="24"/>
  <c r="E31" i="24" s="1"/>
  <c r="E43" i="24" s="1"/>
  <c r="E54" i="24" s="1"/>
  <c r="E68" i="24" s="1"/>
  <c r="E85" i="24" s="1"/>
  <c r="E108" i="24" s="1"/>
  <c r="E120" i="24" s="1"/>
  <c r="E136" i="24" s="1"/>
  <c r="E164" i="24" s="1"/>
  <c r="E187" i="24" s="1"/>
  <c r="E225" i="24" s="1"/>
  <c r="K17" i="22"/>
  <c r="K28" i="22" s="1"/>
  <c r="K39" i="22" s="1"/>
  <c r="K50" i="22" s="1"/>
  <c r="K61" i="22" s="1"/>
  <c r="K72" i="22" s="1"/>
  <c r="K83" i="22" s="1"/>
  <c r="K91" i="22" s="1"/>
  <c r="K102" i="22" s="1"/>
  <c r="K113" i="22" s="1"/>
  <c r="K124" i="22" s="1"/>
  <c r="K135" i="22" s="1"/>
  <c r="C15" i="24"/>
  <c r="C31" i="24" s="1"/>
  <c r="C43" i="24" s="1"/>
  <c r="C54" i="24" s="1"/>
  <c r="C68" i="24" s="1"/>
  <c r="C85" i="24" s="1"/>
  <c r="C108" i="24" s="1"/>
  <c r="C120" i="24" s="1"/>
  <c r="C136" i="24" s="1"/>
  <c r="C164" i="24" s="1"/>
  <c r="C187" i="24" s="1"/>
  <c r="C225" i="24" s="1"/>
  <c r="E21" i="25"/>
  <c r="E32" i="25" s="1"/>
  <c r="E44" i="25" s="1"/>
  <c r="E55" i="25" s="1"/>
  <c r="E66" i="25" s="1"/>
  <c r="E77" i="25" s="1"/>
  <c r="E88" i="25" s="1"/>
  <c r="E99" i="25" s="1"/>
  <c r="E110" i="25" s="1"/>
  <c r="E121" i="25" s="1"/>
  <c r="E132" i="25" s="1"/>
  <c r="E143" i="25" s="1"/>
  <c r="F21" i="25"/>
  <c r="F32" i="25" s="1"/>
  <c r="F44" i="25" s="1"/>
  <c r="F55" i="25" s="1"/>
  <c r="F66" i="25" s="1"/>
  <c r="F77" i="25" s="1"/>
  <c r="F88" i="25" s="1"/>
  <c r="F99" i="25" s="1"/>
  <c r="F110" i="25" s="1"/>
  <c r="F121" i="25" s="1"/>
  <c r="F132" i="25" s="1"/>
  <c r="F143" i="25" s="1"/>
  <c r="I13" i="24"/>
  <c r="B17" i="22"/>
  <c r="L15" i="22"/>
  <c r="I41" i="15" l="1"/>
  <c r="C51" i="15"/>
  <c r="C60" i="15" s="1"/>
  <c r="C70" i="15" s="1"/>
  <c r="C80" i="15" s="1"/>
  <c r="C90" i="15" s="1"/>
  <c r="C100" i="15" s="1"/>
  <c r="C110" i="15" s="1"/>
  <c r="C120" i="15" s="1"/>
  <c r="J20" i="14"/>
  <c r="J17" i="14"/>
  <c r="F17" i="14"/>
  <c r="J72" i="14"/>
  <c r="J83" i="14"/>
  <c r="E56" i="14"/>
  <c r="F56" i="14" s="1"/>
  <c r="J127" i="3"/>
  <c r="F127" i="3"/>
  <c r="J46" i="3"/>
  <c r="J38" i="3" s="1"/>
  <c r="J92" i="3"/>
  <c r="F31" i="3"/>
  <c r="F25" i="3" s="1"/>
  <c r="F24" i="3" s="1"/>
  <c r="J31" i="3"/>
  <c r="J25" i="3" s="1"/>
  <c r="J24" i="3" s="1"/>
  <c r="F123" i="3"/>
  <c r="F122" i="3"/>
  <c r="F126" i="3"/>
  <c r="F125" i="3"/>
  <c r="F72" i="3"/>
  <c r="F70" i="3"/>
  <c r="F64" i="3"/>
  <c r="F68" i="3"/>
  <c r="E63" i="3"/>
  <c r="F56" i="3"/>
  <c r="I58" i="1"/>
  <c r="B60" i="1"/>
  <c r="D61" i="1" s="1"/>
  <c r="B9" i="1"/>
  <c r="D64" i="2"/>
  <c r="J132" i="14"/>
  <c r="F132" i="14"/>
  <c r="H46" i="14"/>
  <c r="H38" i="14" s="1"/>
  <c r="H37" i="14" s="1"/>
  <c r="J131" i="14"/>
  <c r="F131" i="14"/>
  <c r="C75" i="20"/>
  <c r="C91" i="20" s="1"/>
  <c r="C117" i="20" s="1"/>
  <c r="C131" i="20" s="1"/>
  <c r="C154" i="20" s="1"/>
  <c r="C173" i="20" s="1"/>
  <c r="C195" i="20" s="1"/>
  <c r="C213" i="20" s="1"/>
  <c r="C240" i="20" s="1"/>
  <c r="E88" i="14" s="1"/>
  <c r="K51" i="20"/>
  <c r="H53" i="24"/>
  <c r="J97" i="14"/>
  <c r="F97" i="14"/>
  <c r="F96" i="14"/>
  <c r="F92" i="14" s="1"/>
  <c r="F126" i="14"/>
  <c r="J89" i="14"/>
  <c r="F89" i="14"/>
  <c r="J18" i="14"/>
  <c r="E19" i="14"/>
  <c r="E21" i="14"/>
  <c r="I46" i="14"/>
  <c r="J14" i="14"/>
  <c r="I17" i="21"/>
  <c r="F85" i="14"/>
  <c r="J84" i="14"/>
  <c r="F84" i="14"/>
  <c r="F79" i="14"/>
  <c r="J45" i="14"/>
  <c r="J39" i="14" s="1"/>
  <c r="F45" i="14"/>
  <c r="J41" i="14"/>
  <c r="F41" i="14"/>
  <c r="E74" i="14"/>
  <c r="F74" i="14" s="1"/>
  <c r="J54" i="14"/>
  <c r="F54" i="14"/>
  <c r="J67" i="14"/>
  <c r="F67" i="14"/>
  <c r="J66" i="14"/>
  <c r="F66" i="14"/>
  <c r="J65" i="14"/>
  <c r="F65" i="14"/>
  <c r="J71" i="14"/>
  <c r="F71" i="14"/>
  <c r="J57" i="14"/>
  <c r="F57" i="14"/>
  <c r="J69" i="14"/>
  <c r="F69" i="14"/>
  <c r="F53" i="14"/>
  <c r="J52" i="14"/>
  <c r="J51" i="14" s="1"/>
  <c r="F52" i="14"/>
  <c r="J32" i="14"/>
  <c r="F32" i="14"/>
  <c r="J64" i="14"/>
  <c r="E63" i="14"/>
  <c r="E46" i="14" s="1"/>
  <c r="AC49" i="19"/>
  <c r="AC79" i="19" s="1"/>
  <c r="AC125" i="19" s="1"/>
  <c r="AC175" i="19" s="1"/>
  <c r="AC230" i="19" s="1"/>
  <c r="AC277" i="19" s="1"/>
  <c r="AC333" i="19" s="1"/>
  <c r="AC384" i="19" s="1"/>
  <c r="AC426" i="19" s="1"/>
  <c r="AC489" i="19" s="1"/>
  <c r="AC581" i="19" s="1"/>
  <c r="AE19" i="19"/>
  <c r="G21" i="25"/>
  <c r="G32" i="25"/>
  <c r="D155" i="21"/>
  <c r="D182" i="21" s="1"/>
  <c r="D204" i="21" s="1"/>
  <c r="D229" i="21" s="1"/>
  <c r="D254" i="21" s="1"/>
  <c r="D281" i="21" s="1"/>
  <c r="G155" i="21"/>
  <c r="G182" i="21" s="1"/>
  <c r="G204" i="21" s="1"/>
  <c r="G229" i="21" s="1"/>
  <c r="G254" i="21" s="1"/>
  <c r="G281" i="21" s="1"/>
  <c r="H155" i="21"/>
  <c r="H182" i="21" s="1"/>
  <c r="H204" i="21" s="1"/>
  <c r="H229" i="21" s="1"/>
  <c r="H254" i="21" s="1"/>
  <c r="H281" i="21" s="1"/>
  <c r="J81" i="14"/>
  <c r="J93" i="14"/>
  <c r="J95" i="14"/>
  <c r="G132" i="20"/>
  <c r="G155" i="20" s="1"/>
  <c r="G174" i="20" s="1"/>
  <c r="G196" i="20" s="1"/>
  <c r="G214" i="20" s="1"/>
  <c r="G241" i="20" s="1"/>
  <c r="J132" i="20"/>
  <c r="J155" i="20" s="1"/>
  <c r="J174" i="20" s="1"/>
  <c r="J196" i="20" s="1"/>
  <c r="J214" i="20" s="1"/>
  <c r="J241" i="20" s="1"/>
  <c r="F132" i="20"/>
  <c r="F155" i="20" s="1"/>
  <c r="F174" i="20" s="1"/>
  <c r="F196" i="20" s="1"/>
  <c r="F214" i="20" s="1"/>
  <c r="F241" i="20" s="1"/>
  <c r="E132" i="20"/>
  <c r="E155" i="20" s="1"/>
  <c r="E174" i="20" s="1"/>
  <c r="E196" i="20" s="1"/>
  <c r="E214" i="20" s="1"/>
  <c r="E241" i="20" s="1"/>
  <c r="C132" i="20"/>
  <c r="C155" i="20" s="1"/>
  <c r="C174" i="20" s="1"/>
  <c r="C196" i="20" s="1"/>
  <c r="C214" i="20" s="1"/>
  <c r="C241" i="20" s="1"/>
  <c r="O49" i="19"/>
  <c r="O79" i="19" s="1"/>
  <c r="O125" i="19" s="1"/>
  <c r="O175" i="19" s="1"/>
  <c r="O230" i="19" s="1"/>
  <c r="O277" i="19" s="1"/>
  <c r="O333" i="19" s="1"/>
  <c r="O384" i="19" s="1"/>
  <c r="O426" i="19" s="1"/>
  <c r="O489" i="19" s="1"/>
  <c r="O581" i="19" s="1"/>
  <c r="J49" i="14"/>
  <c r="G205" i="23"/>
  <c r="G258" i="23" s="1"/>
  <c r="G288" i="23" s="1"/>
  <c r="G303" i="23" s="1"/>
  <c r="G316" i="23" s="1"/>
  <c r="G343" i="23" s="1"/>
  <c r="D83" i="22"/>
  <c r="D91" i="22" s="1"/>
  <c r="D102" i="22" s="1"/>
  <c r="D113" i="22" s="1"/>
  <c r="D124" i="22" s="1"/>
  <c r="D135" i="22" s="1"/>
  <c r="C182" i="21"/>
  <c r="C204" i="21" s="1"/>
  <c r="C229" i="21" s="1"/>
  <c r="C254" i="21" s="1"/>
  <c r="C281" i="21" s="1"/>
  <c r="F133" i="21"/>
  <c r="F155" i="21" s="1"/>
  <c r="I132" i="20"/>
  <c r="I155" i="20" s="1"/>
  <c r="I174" i="20" s="1"/>
  <c r="I196" i="20" s="1"/>
  <c r="I214" i="20" s="1"/>
  <c r="I241" i="20" s="1"/>
  <c r="H36" i="20"/>
  <c r="K21" i="20"/>
  <c r="Q277" i="19"/>
  <c r="Q333" i="19" s="1"/>
  <c r="Q384" i="19" s="1"/>
  <c r="Q426" i="19" s="1"/>
  <c r="Q489" i="19" s="1"/>
  <c r="Q581" i="19" s="1"/>
  <c r="Y277" i="19"/>
  <c r="Y333" i="19" s="1"/>
  <c r="Y384" i="19" s="1"/>
  <c r="Y426" i="19" s="1"/>
  <c r="Y489" i="19" s="1"/>
  <c r="Y581" i="19" s="1"/>
  <c r="I230" i="19"/>
  <c r="I277" i="19" s="1"/>
  <c r="I333" i="19" s="1"/>
  <c r="I384" i="19" s="1"/>
  <c r="I426" i="19" s="1"/>
  <c r="I489" i="19" s="1"/>
  <c r="I581" i="19" s="1"/>
  <c r="T277" i="19"/>
  <c r="T333" i="19" s="1"/>
  <c r="T384" i="19" s="1"/>
  <c r="T426" i="19" s="1"/>
  <c r="T489" i="19" s="1"/>
  <c r="T581" i="19" s="1"/>
  <c r="N277" i="19"/>
  <c r="N333" i="19" s="1"/>
  <c r="N384" i="19" s="1"/>
  <c r="N426" i="19" s="1"/>
  <c r="N489" i="19" s="1"/>
  <c r="N581" i="19" s="1"/>
  <c r="M277" i="19"/>
  <c r="M333" i="19" s="1"/>
  <c r="M384" i="19" s="1"/>
  <c r="M426" i="19" s="1"/>
  <c r="M489" i="19" s="1"/>
  <c r="M581" i="19" s="1"/>
  <c r="L277" i="19"/>
  <c r="L333" i="19" s="1"/>
  <c r="L384" i="19" s="1"/>
  <c r="L426" i="19" s="1"/>
  <c r="L489" i="19" s="1"/>
  <c r="L581" i="19" s="1"/>
  <c r="V277" i="19"/>
  <c r="V333" i="19" s="1"/>
  <c r="V384" i="19" s="1"/>
  <c r="V426" i="19" s="1"/>
  <c r="V489" i="19" s="1"/>
  <c r="V581" i="19" s="1"/>
  <c r="D277" i="19"/>
  <c r="D333" i="19" s="1"/>
  <c r="D384" i="19" s="1"/>
  <c r="D426" i="19" s="1"/>
  <c r="D489" i="19" s="1"/>
  <c r="D581" i="19" s="1"/>
  <c r="J277" i="19"/>
  <c r="J333" i="19" s="1"/>
  <c r="J384" i="19" s="1"/>
  <c r="J426" i="19" s="1"/>
  <c r="J489" i="19" s="1"/>
  <c r="J581" i="19" s="1"/>
  <c r="U277" i="19"/>
  <c r="U333" i="19" s="1"/>
  <c r="U384" i="19" s="1"/>
  <c r="U426" i="19" s="1"/>
  <c r="U489" i="19" s="1"/>
  <c r="U581" i="19" s="1"/>
  <c r="C277" i="19"/>
  <c r="C333" i="19" s="1"/>
  <c r="C384" i="19" s="1"/>
  <c r="C426" i="19" s="1"/>
  <c r="C489" i="19" s="1"/>
  <c r="C581" i="19" s="1"/>
  <c r="X277" i="19"/>
  <c r="X333" i="19" s="1"/>
  <c r="X384" i="19" s="1"/>
  <c r="X426" i="19" s="1"/>
  <c r="X489" i="19" s="1"/>
  <c r="X581" i="19" s="1"/>
  <c r="K333" i="19"/>
  <c r="K384" i="19" s="1"/>
  <c r="K426" i="19" s="1"/>
  <c r="K489" i="19" s="1"/>
  <c r="K581" i="19" s="1"/>
  <c r="M67" i="2"/>
  <c r="E88" i="3"/>
  <c r="E25" i="3"/>
  <c r="E24" i="3" s="1"/>
  <c r="F93" i="3"/>
  <c r="F89" i="3"/>
  <c r="F96" i="3"/>
  <c r="F95" i="3"/>
  <c r="E92" i="3"/>
  <c r="F94" i="3"/>
  <c r="F97" i="3"/>
  <c r="B8" i="1"/>
  <c r="B41" i="1"/>
  <c r="D42" i="1" s="1"/>
  <c r="G67" i="2"/>
  <c r="H57" i="2"/>
  <c r="I57" i="2" s="1"/>
  <c r="C21" i="2"/>
  <c r="C20" i="2" s="1"/>
  <c r="H60" i="2"/>
  <c r="H59" i="2" s="1"/>
  <c r="C11" i="2"/>
  <c r="E11" i="1"/>
  <c r="E16" i="1" s="1"/>
  <c r="H66" i="2"/>
  <c r="M66" i="2" s="1"/>
  <c r="M65" i="2" s="1"/>
  <c r="D66" i="2"/>
  <c r="D65" i="2" s="1"/>
  <c r="F64" i="2"/>
  <c r="K64" i="2"/>
  <c r="L64" i="2" s="1"/>
  <c r="I86" i="14"/>
  <c r="C37" i="1"/>
  <c r="J133" i="14"/>
  <c r="E51" i="14"/>
  <c r="J122" i="14"/>
  <c r="H154" i="12"/>
  <c r="H172" i="12" s="1"/>
  <c r="H202" i="12" s="1"/>
  <c r="E124" i="3" s="1"/>
  <c r="J124" i="3" s="1"/>
  <c r="E42" i="14"/>
  <c r="D11" i="1"/>
  <c r="D16" i="1" s="1"/>
  <c r="I42" i="24"/>
  <c r="B8" i="14"/>
  <c r="B7" i="14" s="1"/>
  <c r="B24" i="2"/>
  <c r="L16" i="22"/>
  <c r="I28" i="23"/>
  <c r="J56" i="14"/>
  <c r="J94" i="14"/>
  <c r="J68" i="14"/>
  <c r="C65" i="2"/>
  <c r="C63" i="2"/>
  <c r="C16" i="2" s="1"/>
  <c r="I77" i="14"/>
  <c r="I39" i="14"/>
  <c r="F55" i="1"/>
  <c r="E64" i="2"/>
  <c r="F48" i="1"/>
  <c r="G48" i="1" s="1"/>
  <c r="D56" i="2"/>
  <c r="E56" i="2" s="1"/>
  <c r="C29" i="2"/>
  <c r="H24" i="14"/>
  <c r="H9" i="14" s="1"/>
  <c r="D60" i="2"/>
  <c r="E10" i="2"/>
  <c r="R10" i="2"/>
  <c r="F10" i="2"/>
  <c r="C50" i="18"/>
  <c r="G31" i="18"/>
  <c r="E50" i="14"/>
  <c r="F50" i="14" s="1"/>
  <c r="G14" i="18"/>
  <c r="E66" i="12"/>
  <c r="L53" i="12"/>
  <c r="B32" i="15"/>
  <c r="I22" i="15"/>
  <c r="H49" i="1"/>
  <c r="I49" i="1"/>
  <c r="J49" i="1" s="1"/>
  <c r="G49" i="1"/>
  <c r="B38" i="22"/>
  <c r="L27" i="22"/>
  <c r="J124" i="14"/>
  <c r="B76" i="20"/>
  <c r="G30" i="18"/>
  <c r="C49" i="18"/>
  <c r="I30" i="24"/>
  <c r="K35" i="20"/>
  <c r="B51" i="20"/>
  <c r="G24" i="17"/>
  <c r="B33" i="17"/>
  <c r="I13" i="15"/>
  <c r="J31" i="14"/>
  <c r="E62" i="23"/>
  <c r="I50" i="23"/>
  <c r="J64" i="2"/>
  <c r="G64" i="2"/>
  <c r="I64" i="2"/>
  <c r="I15" i="24"/>
  <c r="I54" i="24"/>
  <c r="B68" i="24"/>
  <c r="B33" i="15"/>
  <c r="I23" i="15"/>
  <c r="I31" i="24"/>
  <c r="J107" i="14"/>
  <c r="L17" i="22"/>
  <c r="B28" i="22"/>
  <c r="C31" i="25"/>
  <c r="B52" i="21"/>
  <c r="I34" i="21"/>
  <c r="C57" i="2"/>
  <c r="C44" i="25"/>
  <c r="G44" i="25" s="1"/>
  <c r="E104" i="14"/>
  <c r="J105" i="14"/>
  <c r="G14" i="17"/>
  <c r="B23" i="17"/>
  <c r="C30" i="16"/>
  <c r="B38" i="16"/>
  <c r="C56" i="1"/>
  <c r="M10" i="2"/>
  <c r="N10" i="2" s="1"/>
  <c r="K10" i="2"/>
  <c r="L10" i="2" s="1"/>
  <c r="B11" i="1"/>
  <c r="J10" i="2"/>
  <c r="E116" i="14"/>
  <c r="J117" i="14"/>
  <c r="J116" i="14" s="1"/>
  <c r="I43" i="24"/>
  <c r="E16" i="14"/>
  <c r="E49" i="23"/>
  <c r="I27" i="23"/>
  <c r="J123" i="14"/>
  <c r="J82" i="14"/>
  <c r="B78" i="19"/>
  <c r="AE48" i="19"/>
  <c r="B21" i="16"/>
  <c r="C13" i="16"/>
  <c r="C34" i="1"/>
  <c r="C17" i="2"/>
  <c r="C60" i="2"/>
  <c r="M64" i="2"/>
  <c r="N64" i="2" s="1"/>
  <c r="E92" i="14"/>
  <c r="B163" i="24"/>
  <c r="I14" i="24"/>
  <c r="B53" i="21"/>
  <c r="I35" i="21"/>
  <c r="J125" i="14"/>
  <c r="B79" i="19"/>
  <c r="F57" i="1"/>
  <c r="F56" i="1" s="1"/>
  <c r="J73" i="14"/>
  <c r="C32" i="2"/>
  <c r="E46" i="3" l="1"/>
  <c r="E38" i="3" s="1"/>
  <c r="J21" i="14"/>
  <c r="F21" i="14"/>
  <c r="J19" i="14"/>
  <c r="F19" i="14"/>
  <c r="F16" i="14" s="1"/>
  <c r="J16" i="14"/>
  <c r="J63" i="14"/>
  <c r="F88" i="14"/>
  <c r="J88" i="14"/>
  <c r="B16" i="1"/>
  <c r="F88" i="3"/>
  <c r="J88" i="3"/>
  <c r="F63" i="14"/>
  <c r="F63" i="3"/>
  <c r="F46" i="3" s="1"/>
  <c r="F38" i="3" s="1"/>
  <c r="F124" i="3"/>
  <c r="J92" i="14"/>
  <c r="H67" i="24"/>
  <c r="I53" i="24"/>
  <c r="J126" i="14"/>
  <c r="E17" i="1"/>
  <c r="F51" i="14"/>
  <c r="J42" i="14"/>
  <c r="F42" i="14"/>
  <c r="J74" i="14"/>
  <c r="AE49" i="19"/>
  <c r="F182" i="21"/>
  <c r="F204" i="21" s="1"/>
  <c r="F229" i="21" s="1"/>
  <c r="F254" i="21" s="1"/>
  <c r="F281" i="21" s="1"/>
  <c r="H52" i="20"/>
  <c r="K36" i="20"/>
  <c r="F92" i="3"/>
  <c r="J60" i="2"/>
  <c r="G60" i="2"/>
  <c r="G59" i="2" s="1"/>
  <c r="G57" i="2"/>
  <c r="G56" i="2" s="1"/>
  <c r="I60" i="2"/>
  <c r="H56" i="2"/>
  <c r="I56" i="2" s="1"/>
  <c r="H65" i="2"/>
  <c r="G66" i="2"/>
  <c r="G65" i="2" s="1"/>
  <c r="G8" i="14"/>
  <c r="G7" i="14" s="1"/>
  <c r="K66" i="2"/>
  <c r="K65" i="2" s="1"/>
  <c r="C38" i="2"/>
  <c r="C36" i="1" s="1"/>
  <c r="C35" i="1" s="1"/>
  <c r="C13" i="1" s="1"/>
  <c r="I38" i="14"/>
  <c r="I37" i="14" s="1"/>
  <c r="I33" i="14" s="1"/>
  <c r="I8" i="14" s="1"/>
  <c r="I7" i="14" s="1"/>
  <c r="C9" i="2"/>
  <c r="C8" i="14"/>
  <c r="C7" i="14" s="1"/>
  <c r="F47" i="1"/>
  <c r="G47" i="1" s="1"/>
  <c r="G55" i="1"/>
  <c r="H55" i="1"/>
  <c r="I55" i="1"/>
  <c r="J55" i="1" s="1"/>
  <c r="C62" i="2"/>
  <c r="C61" i="2" s="1"/>
  <c r="C54" i="1"/>
  <c r="C53" i="1" s="1"/>
  <c r="C52" i="1" s="1"/>
  <c r="C38" i="16"/>
  <c r="B46" i="16"/>
  <c r="I68" i="24"/>
  <c r="B85" i="24"/>
  <c r="I32" i="15"/>
  <c r="B186" i="24"/>
  <c r="C56" i="2"/>
  <c r="M57" i="2"/>
  <c r="C48" i="1"/>
  <c r="F57" i="2"/>
  <c r="K57" i="2"/>
  <c r="J57" i="2"/>
  <c r="E61" i="23"/>
  <c r="I49" i="23"/>
  <c r="I59" i="2"/>
  <c r="E60" i="2"/>
  <c r="F51" i="1"/>
  <c r="F60" i="2"/>
  <c r="D59" i="2"/>
  <c r="C31" i="2"/>
  <c r="C30" i="1"/>
  <c r="C13" i="2"/>
  <c r="G23" i="17"/>
  <c r="B32" i="17"/>
  <c r="B124" i="19"/>
  <c r="AE78" i="19"/>
  <c r="H33" i="14"/>
  <c r="H8" i="14" s="1"/>
  <c r="H7" i="14" s="1"/>
  <c r="D63" i="2"/>
  <c r="B78" i="21"/>
  <c r="I52" i="21"/>
  <c r="D17" i="1"/>
  <c r="G49" i="18"/>
  <c r="C70" i="18"/>
  <c r="I33" i="15"/>
  <c r="B42" i="15"/>
  <c r="C43" i="25"/>
  <c r="J50" i="14"/>
  <c r="L28" i="22"/>
  <c r="B39" i="22"/>
  <c r="B92" i="20"/>
  <c r="AE79" i="19"/>
  <c r="B125" i="19"/>
  <c r="H63" i="2"/>
  <c r="E77" i="12"/>
  <c r="L66" i="12"/>
  <c r="Q66" i="12" s="1"/>
  <c r="M60" i="2"/>
  <c r="K60" i="2"/>
  <c r="C59" i="2"/>
  <c r="J59" i="2" s="1"/>
  <c r="C51" i="1"/>
  <c r="L38" i="22"/>
  <c r="B49" i="22"/>
  <c r="C55" i="25"/>
  <c r="G55" i="25" s="1"/>
  <c r="B75" i="20"/>
  <c r="C71" i="18"/>
  <c r="G50" i="18"/>
  <c r="J104" i="14"/>
  <c r="G33" i="17"/>
  <c r="B44" i="17"/>
  <c r="B79" i="21"/>
  <c r="I53" i="21"/>
  <c r="I57" i="1"/>
  <c r="I56" i="1" s="1"/>
  <c r="E54" i="12"/>
  <c r="I62" i="23"/>
  <c r="E79" i="23"/>
  <c r="C21" i="16"/>
  <c r="B29" i="16"/>
  <c r="D8" i="14"/>
  <c r="D7" i="14" s="1"/>
  <c r="C28" i="2"/>
  <c r="C27" i="1"/>
  <c r="H84" i="24" l="1"/>
  <c r="I67" i="24"/>
  <c r="C37" i="2"/>
  <c r="C19" i="2"/>
  <c r="C18" i="2" s="1"/>
  <c r="H76" i="20"/>
  <c r="K52" i="20"/>
  <c r="E86" i="12"/>
  <c r="L77" i="12"/>
  <c r="C89" i="18"/>
  <c r="G70" i="18"/>
  <c r="C66" i="25"/>
  <c r="G66" i="25" s="1"/>
  <c r="C29" i="1"/>
  <c r="B60" i="22"/>
  <c r="L49" i="22"/>
  <c r="B175" i="19"/>
  <c r="AE125" i="19"/>
  <c r="F59" i="2"/>
  <c r="E59" i="2"/>
  <c r="B51" i="15"/>
  <c r="AE124" i="19"/>
  <c r="B174" i="19"/>
  <c r="I61" i="23"/>
  <c r="E78" i="23"/>
  <c r="C69" i="2"/>
  <c r="C70" i="2" s="1"/>
  <c r="J56" i="2"/>
  <c r="F56" i="2"/>
  <c r="G63" i="2"/>
  <c r="G62" i="2" s="1"/>
  <c r="G61" i="2" s="1"/>
  <c r="G69" i="2" s="1"/>
  <c r="I63" i="2"/>
  <c r="J63" i="2"/>
  <c r="H62" i="2"/>
  <c r="M63" i="2"/>
  <c r="B224" i="24"/>
  <c r="B99" i="21"/>
  <c r="B133" i="21" s="1"/>
  <c r="B155" i="21" s="1"/>
  <c r="I79" i="21"/>
  <c r="C90" i="18"/>
  <c r="G71" i="18"/>
  <c r="L39" i="22"/>
  <c r="B50" i="22"/>
  <c r="C12" i="2"/>
  <c r="C8" i="2"/>
  <c r="C26" i="1"/>
  <c r="G32" i="17"/>
  <c r="B43" i="17"/>
  <c r="B55" i="16"/>
  <c r="B63" i="16" s="1"/>
  <c r="C63" i="16" s="1"/>
  <c r="C46" i="16"/>
  <c r="E67" i="12"/>
  <c r="L54" i="12"/>
  <c r="C47" i="1"/>
  <c r="I48" i="1"/>
  <c r="H48" i="1"/>
  <c r="C34" i="2"/>
  <c r="C33" i="2" s="1"/>
  <c r="C43" i="2" s="1"/>
  <c r="C44" i="2" s="1"/>
  <c r="N57" i="2"/>
  <c r="M56" i="2"/>
  <c r="H51" i="1"/>
  <c r="F50" i="1"/>
  <c r="G51" i="1"/>
  <c r="I85" i="24"/>
  <c r="B108" i="24"/>
  <c r="B37" i="16"/>
  <c r="C29" i="16"/>
  <c r="C50" i="1"/>
  <c r="I51" i="1"/>
  <c r="I79" i="23"/>
  <c r="E128" i="23"/>
  <c r="B53" i="17"/>
  <c r="G44" i="17"/>
  <c r="B91" i="20"/>
  <c r="K75" i="20"/>
  <c r="L60" i="2"/>
  <c r="K59" i="2"/>
  <c r="L59" i="2" s="1"/>
  <c r="B118" i="20"/>
  <c r="B132" i="20" s="1"/>
  <c r="B155" i="20" s="1"/>
  <c r="B52" i="15"/>
  <c r="I42" i="15"/>
  <c r="I78" i="21"/>
  <c r="B98" i="21"/>
  <c r="L57" i="2"/>
  <c r="K56" i="2"/>
  <c r="M59" i="2"/>
  <c r="N59" i="2" s="1"/>
  <c r="N60" i="2"/>
  <c r="G43" i="25"/>
  <c r="C54" i="25"/>
  <c r="F63" i="2"/>
  <c r="E63" i="2"/>
  <c r="F54" i="1"/>
  <c r="D62" i="2"/>
  <c r="K63" i="2"/>
  <c r="H107" i="24" l="1"/>
  <c r="I84" i="24"/>
  <c r="H92" i="20"/>
  <c r="K76" i="20"/>
  <c r="C9" i="1"/>
  <c r="C7" i="2"/>
  <c r="C55" i="16"/>
  <c r="C10" i="1"/>
  <c r="C32" i="1"/>
  <c r="B52" i="17"/>
  <c r="G43" i="17"/>
  <c r="C77" i="25"/>
  <c r="G77" i="25" s="1"/>
  <c r="L56" i="2"/>
  <c r="I50" i="1"/>
  <c r="J50" i="1" s="1"/>
  <c r="J51" i="1"/>
  <c r="B230" i="19"/>
  <c r="B277" i="19" s="1"/>
  <c r="AE277" i="19" s="1"/>
  <c r="AE175" i="19"/>
  <c r="I62" i="2"/>
  <c r="J62" i="2"/>
  <c r="H61" i="2"/>
  <c r="L60" i="22"/>
  <c r="B71" i="22"/>
  <c r="B117" i="20"/>
  <c r="K91" i="20"/>
  <c r="E62" i="2"/>
  <c r="D61" i="2"/>
  <c r="F62" i="2"/>
  <c r="B63" i="17"/>
  <c r="G53" i="17"/>
  <c r="C37" i="16"/>
  <c r="B45" i="16"/>
  <c r="C15" i="2"/>
  <c r="C14" i="2" s="1"/>
  <c r="G90" i="18"/>
  <c r="C116" i="18"/>
  <c r="L63" i="2"/>
  <c r="K62" i="2"/>
  <c r="I108" i="24"/>
  <c r="B120" i="24"/>
  <c r="I78" i="23"/>
  <c r="E127" i="23"/>
  <c r="C115" i="18"/>
  <c r="G89" i="18"/>
  <c r="F53" i="1"/>
  <c r="G54" i="1"/>
  <c r="H54" i="1"/>
  <c r="I54" i="1"/>
  <c r="I98" i="21"/>
  <c r="B132" i="21"/>
  <c r="I128" i="23"/>
  <c r="E206" i="23"/>
  <c r="I47" i="1"/>
  <c r="J48" i="1"/>
  <c r="L50" i="22"/>
  <c r="B61" i="22"/>
  <c r="I99" i="21"/>
  <c r="N56" i="2"/>
  <c r="C60" i="1"/>
  <c r="E61" i="1" s="1"/>
  <c r="H47" i="1"/>
  <c r="B229" i="19"/>
  <c r="AE174" i="19"/>
  <c r="L86" i="12"/>
  <c r="Q86" i="12" s="1"/>
  <c r="E101" i="12"/>
  <c r="B61" i="15"/>
  <c r="I52" i="15"/>
  <c r="G50" i="1"/>
  <c r="H50" i="1"/>
  <c r="E121" i="14"/>
  <c r="F121" i="14" s="1"/>
  <c r="C65" i="25"/>
  <c r="G54" i="25"/>
  <c r="E78" i="12"/>
  <c r="L67" i="12"/>
  <c r="Q67" i="12" s="1"/>
  <c r="N63" i="2"/>
  <c r="M62" i="2"/>
  <c r="I51" i="15"/>
  <c r="B60" i="15"/>
  <c r="H119" i="24" l="1"/>
  <c r="I107" i="24"/>
  <c r="H118" i="20"/>
  <c r="K92" i="20"/>
  <c r="C24" i="2"/>
  <c r="C25" i="2" s="1"/>
  <c r="AE230" i="19"/>
  <c r="C61" i="1"/>
  <c r="J47" i="1"/>
  <c r="E87" i="12"/>
  <c r="L78" i="12"/>
  <c r="Q78" i="12" s="1"/>
  <c r="G65" i="25"/>
  <c r="C76" i="25"/>
  <c r="B72" i="17"/>
  <c r="G63" i="17"/>
  <c r="I206" i="23"/>
  <c r="E259" i="23"/>
  <c r="F61" i="2"/>
  <c r="E61" i="2"/>
  <c r="D69" i="2"/>
  <c r="I61" i="15"/>
  <c r="B71" i="15"/>
  <c r="C132" i="18"/>
  <c r="G115" i="18"/>
  <c r="H53" i="1"/>
  <c r="F52" i="1"/>
  <c r="G53" i="1"/>
  <c r="K61" i="2"/>
  <c r="L62" i="2"/>
  <c r="I133" i="21"/>
  <c r="B182" i="21"/>
  <c r="B276" i="19"/>
  <c r="AE229" i="19"/>
  <c r="I60" i="15"/>
  <c r="B70" i="15"/>
  <c r="L101" i="12"/>
  <c r="E131" i="12"/>
  <c r="B154" i="21"/>
  <c r="I132" i="21"/>
  <c r="C133" i="18"/>
  <c r="G116" i="18"/>
  <c r="N62" i="2"/>
  <c r="M61" i="2"/>
  <c r="J121" i="14"/>
  <c r="K117" i="20"/>
  <c r="B131" i="20"/>
  <c r="I61" i="2"/>
  <c r="J61" i="2"/>
  <c r="H69" i="2"/>
  <c r="C88" i="25"/>
  <c r="G88" i="25" s="1"/>
  <c r="L61" i="22"/>
  <c r="B72" i="22"/>
  <c r="J54" i="1"/>
  <c r="I53" i="1"/>
  <c r="E205" i="23"/>
  <c r="I127" i="23"/>
  <c r="B71" i="16"/>
  <c r="G52" i="17"/>
  <c r="B62" i="17"/>
  <c r="B54" i="16"/>
  <c r="C45" i="16"/>
  <c r="C8" i="1"/>
  <c r="B136" i="24"/>
  <c r="I120" i="24"/>
  <c r="B82" i="22"/>
  <c r="L71" i="22"/>
  <c r="C12" i="1"/>
  <c r="C31" i="1"/>
  <c r="C41" i="1" s="1"/>
  <c r="H135" i="24" l="1"/>
  <c r="I119" i="24"/>
  <c r="H132" i="20"/>
  <c r="K118" i="20"/>
  <c r="B181" i="21"/>
  <c r="I154" i="21"/>
  <c r="E102" i="12"/>
  <c r="L87" i="12"/>
  <c r="Q87" i="12" s="1"/>
  <c r="C71" i="16"/>
  <c r="B79" i="16"/>
  <c r="E154" i="12"/>
  <c r="L131" i="12"/>
  <c r="Q131" i="12" s="1"/>
  <c r="B174" i="20"/>
  <c r="I70" i="15"/>
  <c r="B80" i="15"/>
  <c r="G72" i="17"/>
  <c r="B82" i="17"/>
  <c r="C42" i="1"/>
  <c r="E42" i="1"/>
  <c r="I52" i="1"/>
  <c r="J53" i="1"/>
  <c r="K131" i="20"/>
  <c r="B154" i="20"/>
  <c r="C11" i="1"/>
  <c r="C16" i="1" s="1"/>
  <c r="C54" i="16"/>
  <c r="B62" i="16"/>
  <c r="B332" i="19"/>
  <c r="AE276" i="19"/>
  <c r="E70" i="2"/>
  <c r="F70" i="2"/>
  <c r="F69" i="2"/>
  <c r="E69" i="2"/>
  <c r="B81" i="15"/>
  <c r="I71" i="15"/>
  <c r="L72" i="22"/>
  <c r="B83" i="22"/>
  <c r="N61" i="2"/>
  <c r="M69" i="2"/>
  <c r="E258" i="23"/>
  <c r="I205" i="23"/>
  <c r="B71" i="17"/>
  <c r="G62" i="17"/>
  <c r="L82" i="22"/>
  <c r="B90" i="22"/>
  <c r="L61" i="2"/>
  <c r="K69" i="2"/>
  <c r="C99" i="25"/>
  <c r="G99" i="25" s="1"/>
  <c r="E289" i="23"/>
  <c r="I259" i="23"/>
  <c r="B164" i="24"/>
  <c r="I136" i="24"/>
  <c r="C157" i="18"/>
  <c r="G133" i="18"/>
  <c r="G52" i="1"/>
  <c r="H52" i="1"/>
  <c r="F60" i="1"/>
  <c r="C87" i="25"/>
  <c r="G76" i="25"/>
  <c r="I69" i="2"/>
  <c r="J70" i="2"/>
  <c r="I70" i="2"/>
  <c r="J69" i="2"/>
  <c r="I155" i="21"/>
  <c r="G132" i="18"/>
  <c r="C156" i="18"/>
  <c r="B333" i="19"/>
  <c r="H163" i="24" l="1"/>
  <c r="I135" i="24"/>
  <c r="H155" i="20"/>
  <c r="K132" i="20"/>
  <c r="C17" i="1"/>
  <c r="C18" i="1"/>
  <c r="E18" i="1"/>
  <c r="B196" i="20"/>
  <c r="L83" i="22"/>
  <c r="B91" i="22"/>
  <c r="K154" i="20"/>
  <c r="B173" i="20"/>
  <c r="E304" i="23"/>
  <c r="I289" i="23"/>
  <c r="B384" i="19"/>
  <c r="AE384" i="19" s="1"/>
  <c r="AE333" i="19"/>
  <c r="B91" i="17"/>
  <c r="G82" i="17"/>
  <c r="C110" i="25"/>
  <c r="G110" i="25" s="1"/>
  <c r="E288" i="23"/>
  <c r="I258" i="23"/>
  <c r="I181" i="21"/>
  <c r="B203" i="21"/>
  <c r="L70" i="2"/>
  <c r="L69" i="2"/>
  <c r="E172" i="12"/>
  <c r="L154" i="12"/>
  <c r="Q154" i="12" s="1"/>
  <c r="AE332" i="19"/>
  <c r="B383" i="19"/>
  <c r="B87" i="16"/>
  <c r="C79" i="16"/>
  <c r="B101" i="22"/>
  <c r="L90" i="22"/>
  <c r="B81" i="17"/>
  <c r="G71" i="17"/>
  <c r="G87" i="25"/>
  <c r="C98" i="25"/>
  <c r="N70" i="2"/>
  <c r="N69" i="2"/>
  <c r="C174" i="18"/>
  <c r="G156" i="18"/>
  <c r="C175" i="18"/>
  <c r="G157" i="18"/>
  <c r="I81" i="15"/>
  <c r="B91" i="15"/>
  <c r="I182" i="21"/>
  <c r="B204" i="21"/>
  <c r="C62" i="16"/>
  <c r="B70" i="16"/>
  <c r="L102" i="12"/>
  <c r="Q102" i="12" s="1"/>
  <c r="E132" i="12"/>
  <c r="G60" i="1"/>
  <c r="H61" i="1"/>
  <c r="G61" i="1"/>
  <c r="H60" i="1"/>
  <c r="I164" i="24"/>
  <c r="B187" i="24"/>
  <c r="J52" i="1"/>
  <c r="I60" i="1"/>
  <c r="I80" i="15"/>
  <c r="B90" i="15"/>
  <c r="H186" i="24" l="1"/>
  <c r="I163" i="24"/>
  <c r="H174" i="20"/>
  <c r="K155" i="20"/>
  <c r="I204" i="21"/>
  <c r="B229" i="21"/>
  <c r="B195" i="20"/>
  <c r="K173" i="20"/>
  <c r="B90" i="17"/>
  <c r="G81" i="17"/>
  <c r="L91" i="22"/>
  <c r="B102" i="22"/>
  <c r="J61" i="1"/>
  <c r="J60" i="1"/>
  <c r="L101" i="22"/>
  <c r="B112" i="22"/>
  <c r="B101" i="17"/>
  <c r="G91" i="17"/>
  <c r="I90" i="15"/>
  <c r="B100" i="15"/>
  <c r="C199" i="18"/>
  <c r="G175" i="18"/>
  <c r="C87" i="16"/>
  <c r="B95" i="16"/>
  <c r="E202" i="12"/>
  <c r="E121" i="3" s="1"/>
  <c r="J121" i="3" s="1"/>
  <c r="J120" i="3" s="1"/>
  <c r="J119" i="3" s="1"/>
  <c r="J118" i="3" s="1"/>
  <c r="L172" i="12"/>
  <c r="E303" i="23"/>
  <c r="I288" i="23"/>
  <c r="C121" i="25"/>
  <c r="G121" i="25" s="1"/>
  <c r="B78" i="16"/>
  <c r="C70" i="16"/>
  <c r="B426" i="19"/>
  <c r="B214" i="20"/>
  <c r="I187" i="24"/>
  <c r="B225" i="24"/>
  <c r="I225" i="24" s="1"/>
  <c r="B101" i="15"/>
  <c r="I91" i="15"/>
  <c r="C198" i="18"/>
  <c r="G174" i="18"/>
  <c r="C109" i="25"/>
  <c r="G98" i="25"/>
  <c r="AE383" i="19"/>
  <c r="B425" i="19"/>
  <c r="B228" i="21"/>
  <c r="I203" i="21"/>
  <c r="L132" i="12"/>
  <c r="Q132" i="12" s="1"/>
  <c r="E155" i="12"/>
  <c r="E317" i="23"/>
  <c r="I304" i="23"/>
  <c r="E120" i="3" l="1"/>
  <c r="E119" i="3" s="1"/>
  <c r="E118" i="3" s="1"/>
  <c r="F121" i="3"/>
  <c r="F120" i="3" s="1"/>
  <c r="F119" i="3" s="1"/>
  <c r="F118" i="3" s="1"/>
  <c r="H224" i="24"/>
  <c r="I186" i="24"/>
  <c r="H196" i="20"/>
  <c r="K174" i="20"/>
  <c r="B241" i="20"/>
  <c r="AE426" i="19"/>
  <c r="B489" i="19"/>
  <c r="C217" i="18"/>
  <c r="G199" i="18"/>
  <c r="E173" i="12"/>
  <c r="L155" i="12"/>
  <c r="Q155" i="12" s="1"/>
  <c r="I100" i="15"/>
  <c r="B110" i="15"/>
  <c r="L102" i="22"/>
  <c r="B113" i="22"/>
  <c r="E316" i="23"/>
  <c r="I303" i="23"/>
  <c r="G90" i="17"/>
  <c r="B100" i="17"/>
  <c r="L202" i="12"/>
  <c r="Q202" i="12" s="1"/>
  <c r="K195" i="20"/>
  <c r="B213" i="20"/>
  <c r="C216" i="18"/>
  <c r="G198" i="18"/>
  <c r="B253" i="21"/>
  <c r="I228" i="21"/>
  <c r="I101" i="15"/>
  <c r="B111" i="15"/>
  <c r="C78" i="16"/>
  <c r="B86" i="16"/>
  <c r="B103" i="16"/>
  <c r="C103" i="16" s="1"/>
  <c r="C95" i="16"/>
  <c r="B110" i="17"/>
  <c r="G101" i="17"/>
  <c r="G109" i="25"/>
  <c r="C120" i="25"/>
  <c r="B123" i="22"/>
  <c r="L112" i="22"/>
  <c r="E344" i="23"/>
  <c r="I344" i="23" s="1"/>
  <c r="I317" i="23"/>
  <c r="C132" i="25"/>
  <c r="G132" i="25" s="1"/>
  <c r="I229" i="21"/>
  <c r="B254" i="21"/>
  <c r="B488" i="19"/>
  <c r="AE425" i="19"/>
  <c r="E127" i="14" l="1"/>
  <c r="I224" i="24"/>
  <c r="H214" i="20"/>
  <c r="K196" i="20"/>
  <c r="B94" i="16"/>
  <c r="C86" i="16"/>
  <c r="E343" i="23"/>
  <c r="I343" i="23" s="1"/>
  <c r="I316" i="23"/>
  <c r="E87" i="3"/>
  <c r="B121" i="15"/>
  <c r="I121" i="15" s="1"/>
  <c r="I111" i="15"/>
  <c r="B580" i="19"/>
  <c r="AE488" i="19"/>
  <c r="I254" i="21"/>
  <c r="B281" i="21"/>
  <c r="I281" i="21" s="1"/>
  <c r="L123" i="22"/>
  <c r="B134" i="22"/>
  <c r="C269" i="18"/>
  <c r="G269" i="18" s="1"/>
  <c r="G217" i="18"/>
  <c r="C131" i="25"/>
  <c r="G120" i="25"/>
  <c r="I253" i="21"/>
  <c r="B280" i="21"/>
  <c r="I110" i="15"/>
  <c r="B120" i="15"/>
  <c r="F13" i="14" s="1"/>
  <c r="F12" i="14" s="1"/>
  <c r="F11" i="14" s="1"/>
  <c r="AE489" i="19"/>
  <c r="B581" i="19"/>
  <c r="AE581" i="19" s="1"/>
  <c r="C268" i="18"/>
  <c r="G268" i="18" s="1"/>
  <c r="G216" i="18"/>
  <c r="C143" i="25"/>
  <c r="G143" i="25" s="1"/>
  <c r="B109" i="17"/>
  <c r="G100" i="17"/>
  <c r="B121" i="17"/>
  <c r="G121" i="17" s="1"/>
  <c r="G110" i="17"/>
  <c r="L113" i="22"/>
  <c r="B124" i="22"/>
  <c r="K213" i="20"/>
  <c r="B240" i="20"/>
  <c r="E203" i="12"/>
  <c r="L203" i="12" s="1"/>
  <c r="Q203" i="12" s="1"/>
  <c r="L173" i="12"/>
  <c r="J87" i="3" l="1"/>
  <c r="J86" i="3" s="1"/>
  <c r="J37" i="3" s="1"/>
  <c r="J33" i="3" s="1"/>
  <c r="E86" i="3"/>
  <c r="F127" i="14"/>
  <c r="F120" i="14" s="1"/>
  <c r="F119" i="14" s="1"/>
  <c r="J127" i="14"/>
  <c r="J120" i="14" s="1"/>
  <c r="J119" i="14" s="1"/>
  <c r="N119" i="14" s="1"/>
  <c r="E120" i="14"/>
  <c r="E119" i="14" s="1"/>
  <c r="D40" i="2" s="1"/>
  <c r="J13" i="14"/>
  <c r="H241" i="20"/>
  <c r="K241" i="20" s="1"/>
  <c r="K214" i="20"/>
  <c r="F87" i="3"/>
  <c r="F86" i="3" s="1"/>
  <c r="F37" i="3" s="1"/>
  <c r="F33" i="3" s="1"/>
  <c r="I280" i="21"/>
  <c r="E40" i="14"/>
  <c r="E39" i="14" s="1"/>
  <c r="G131" i="25"/>
  <c r="C142" i="25"/>
  <c r="E130" i="14" s="1"/>
  <c r="F130" i="14" s="1"/>
  <c r="F128" i="14" s="1"/>
  <c r="E23" i="3"/>
  <c r="F23" i="3" s="1"/>
  <c r="F10" i="3" s="1"/>
  <c r="F9" i="3" s="1"/>
  <c r="B120" i="17"/>
  <c r="E28" i="14" s="1"/>
  <c r="J28" i="14" s="1"/>
  <c r="J25" i="14" s="1"/>
  <c r="G109" i="17"/>
  <c r="K240" i="20"/>
  <c r="E87" i="14"/>
  <c r="F87" i="14" s="1"/>
  <c r="F86" i="14" s="1"/>
  <c r="H40" i="2"/>
  <c r="I120" i="15"/>
  <c r="AE580" i="19"/>
  <c r="E48" i="14"/>
  <c r="F48" i="14" s="1"/>
  <c r="F47" i="14" s="1"/>
  <c r="F46" i="14" s="1"/>
  <c r="L124" i="22"/>
  <c r="B135" i="22"/>
  <c r="L135" i="22" s="1"/>
  <c r="L134" i="22"/>
  <c r="B102" i="16"/>
  <c r="E23" i="14" s="1"/>
  <c r="C94" i="16"/>
  <c r="F8" i="3" l="1"/>
  <c r="F7" i="3" s="1"/>
  <c r="J12" i="14"/>
  <c r="J11" i="14" s="1"/>
  <c r="F23" i="14"/>
  <c r="F10" i="14" s="1"/>
  <c r="E37" i="3"/>
  <c r="E33" i="3" s="1"/>
  <c r="E10" i="3"/>
  <c r="E9" i="3" s="1"/>
  <c r="J23" i="3"/>
  <c r="J10" i="3" s="1"/>
  <c r="J9" i="3" s="1"/>
  <c r="J8" i="3" s="1"/>
  <c r="J7" i="3" s="1"/>
  <c r="F118" i="14"/>
  <c r="D21" i="2"/>
  <c r="F38" i="1"/>
  <c r="K40" i="2"/>
  <c r="F40" i="14"/>
  <c r="F39" i="14" s="1"/>
  <c r="F78" i="14"/>
  <c r="F77" i="14" s="1"/>
  <c r="J78" i="14"/>
  <c r="J130" i="14"/>
  <c r="H21" i="2"/>
  <c r="M40" i="2"/>
  <c r="G40" i="2"/>
  <c r="H36" i="2"/>
  <c r="E47" i="14"/>
  <c r="J48" i="14"/>
  <c r="J47" i="14" s="1"/>
  <c r="E77" i="14"/>
  <c r="G142" i="25"/>
  <c r="E101" i="14"/>
  <c r="E100" i="14" s="1"/>
  <c r="J101" i="14"/>
  <c r="H32" i="2"/>
  <c r="C102" i="16"/>
  <c r="E12" i="14"/>
  <c r="E11" i="14" s="1"/>
  <c r="E10" i="14" s="1"/>
  <c r="E86" i="14"/>
  <c r="D36" i="2" s="1"/>
  <c r="J87" i="14"/>
  <c r="J86" i="14" s="1"/>
  <c r="G120" i="17"/>
  <c r="F28" i="14"/>
  <c r="F25" i="14" s="1"/>
  <c r="F24" i="14" s="1"/>
  <c r="J77" i="14" l="1"/>
  <c r="N77" i="14" s="1"/>
  <c r="F9" i="14"/>
  <c r="F38" i="14"/>
  <c r="F37" i="14" s="1"/>
  <c r="F33" i="14" s="1"/>
  <c r="F8" i="14" s="1"/>
  <c r="F7" i="14" s="1"/>
  <c r="E38" i="14"/>
  <c r="D35" i="2" s="1"/>
  <c r="F33" i="1" s="1"/>
  <c r="E8" i="3"/>
  <c r="E7" i="3" s="1"/>
  <c r="F14" i="1"/>
  <c r="I38" i="1"/>
  <c r="R21" i="2"/>
  <c r="K21" i="2"/>
  <c r="J46" i="14"/>
  <c r="G36" i="2"/>
  <c r="G17" i="2" s="1"/>
  <c r="J100" i="14"/>
  <c r="J99" i="14" s="1"/>
  <c r="J98" i="14" s="1"/>
  <c r="N98" i="14" s="1"/>
  <c r="N86" i="14"/>
  <c r="E99" i="14"/>
  <c r="J129" i="14"/>
  <c r="J128" i="14" s="1"/>
  <c r="J118" i="14" s="1"/>
  <c r="E128" i="14"/>
  <c r="N39" i="14"/>
  <c r="J36" i="2"/>
  <c r="H17" i="2"/>
  <c r="I36" i="2"/>
  <c r="M36" i="2"/>
  <c r="N36" i="2" s="1"/>
  <c r="E25" i="14"/>
  <c r="J23" i="14"/>
  <c r="D30" i="2"/>
  <c r="D11" i="2" s="1"/>
  <c r="H30" i="2"/>
  <c r="D29" i="2"/>
  <c r="H29" i="2"/>
  <c r="J32" i="2"/>
  <c r="H31" i="2"/>
  <c r="I32" i="2"/>
  <c r="H13" i="2"/>
  <c r="M32" i="2"/>
  <c r="G21" i="2"/>
  <c r="M21" i="2"/>
  <c r="F36" i="2"/>
  <c r="D17" i="2"/>
  <c r="F34" i="1"/>
  <c r="E36" i="2"/>
  <c r="K36" i="2"/>
  <c r="L36" i="2" s="1"/>
  <c r="F32" i="1" l="1"/>
  <c r="F12" i="1" s="1"/>
  <c r="N46" i="14"/>
  <c r="J38" i="14"/>
  <c r="J37" i="14" s="1"/>
  <c r="G14" i="1"/>
  <c r="I14" i="1"/>
  <c r="J14" i="1" s="1"/>
  <c r="H14" i="1"/>
  <c r="H38" i="2"/>
  <c r="H19" i="2" s="1"/>
  <c r="J10" i="14"/>
  <c r="N10" i="14" s="1"/>
  <c r="J24" i="14"/>
  <c r="J33" i="14"/>
  <c r="N33" i="14" s="1"/>
  <c r="E98" i="14"/>
  <c r="D38" i="2"/>
  <c r="D37" i="2" s="1"/>
  <c r="F17" i="2"/>
  <c r="R17" i="2"/>
  <c r="E17" i="2"/>
  <c r="K17" i="2"/>
  <c r="L17" i="2" s="1"/>
  <c r="E24" i="14"/>
  <c r="E9" i="14" s="1"/>
  <c r="D32" i="2"/>
  <c r="D13" i="2" s="1"/>
  <c r="D41" i="2"/>
  <c r="E118" i="14"/>
  <c r="I29" i="2"/>
  <c r="J29" i="2"/>
  <c r="H9" i="2"/>
  <c r="H28" i="2"/>
  <c r="G29" i="2"/>
  <c r="M29" i="2"/>
  <c r="I30" i="2"/>
  <c r="J30" i="2"/>
  <c r="G30" i="2"/>
  <c r="G11" i="2" s="1"/>
  <c r="H11" i="2"/>
  <c r="M30" i="2"/>
  <c r="N30" i="2" s="1"/>
  <c r="I31" i="2"/>
  <c r="J31" i="2"/>
  <c r="J17" i="2"/>
  <c r="I17" i="2"/>
  <c r="M17" i="2"/>
  <c r="N17" i="2" s="1"/>
  <c r="D9" i="2"/>
  <c r="F29" i="2"/>
  <c r="E29" i="2"/>
  <c r="F27" i="1"/>
  <c r="D28" i="2"/>
  <c r="K29" i="2"/>
  <c r="N32" i="2"/>
  <c r="M31" i="2"/>
  <c r="N31" i="2" s="1"/>
  <c r="H41" i="2"/>
  <c r="E37" i="14"/>
  <c r="H34" i="1"/>
  <c r="G34" i="1"/>
  <c r="I34" i="1"/>
  <c r="J34" i="1" s="1"/>
  <c r="J13" i="2"/>
  <c r="H12" i="2"/>
  <c r="I13" i="2"/>
  <c r="M13" i="2"/>
  <c r="E30" i="2"/>
  <c r="F30" i="2"/>
  <c r="F28" i="1"/>
  <c r="K30" i="2"/>
  <c r="L30" i="2" s="1"/>
  <c r="J9" i="14" l="1"/>
  <c r="J8" i="14" s="1"/>
  <c r="M38" i="2"/>
  <c r="M37" i="2" s="1"/>
  <c r="H37" i="2"/>
  <c r="H35" i="2"/>
  <c r="J35" i="2" s="1"/>
  <c r="G38" i="2"/>
  <c r="G37" i="2" s="1"/>
  <c r="N37" i="14"/>
  <c r="K38" i="2"/>
  <c r="K37" i="2" s="1"/>
  <c r="D19" i="2"/>
  <c r="D18" i="2" s="1"/>
  <c r="F36" i="1"/>
  <c r="F35" i="1" s="1"/>
  <c r="F13" i="1" s="1"/>
  <c r="I13" i="1" s="1"/>
  <c r="E33" i="14"/>
  <c r="E8" i="14" s="1"/>
  <c r="E7" i="14" s="1"/>
  <c r="J9" i="2"/>
  <c r="H8" i="2"/>
  <c r="I9" i="2"/>
  <c r="M9" i="2"/>
  <c r="L29" i="2"/>
  <c r="K28" i="2"/>
  <c r="F35" i="2"/>
  <c r="D34" i="2"/>
  <c r="E35" i="2"/>
  <c r="D16" i="2"/>
  <c r="K35" i="2"/>
  <c r="R9" i="2"/>
  <c r="F9" i="2"/>
  <c r="D8" i="2"/>
  <c r="E9" i="2"/>
  <c r="K9" i="2"/>
  <c r="E11" i="2"/>
  <c r="R11" i="2"/>
  <c r="F11" i="2"/>
  <c r="K11" i="2"/>
  <c r="L11" i="2" s="1"/>
  <c r="D22" i="2"/>
  <c r="E41" i="2"/>
  <c r="F39" i="1"/>
  <c r="F41" i="2"/>
  <c r="K41" i="2"/>
  <c r="D39" i="2"/>
  <c r="E28" i="2"/>
  <c r="F28" i="2"/>
  <c r="F32" i="2"/>
  <c r="D31" i="2"/>
  <c r="F30" i="1"/>
  <c r="E32" i="2"/>
  <c r="K32" i="2"/>
  <c r="G32" i="2"/>
  <c r="H18" i="2"/>
  <c r="M19" i="2"/>
  <c r="M18" i="2" s="1"/>
  <c r="J41" i="2"/>
  <c r="H22" i="2"/>
  <c r="G41" i="2"/>
  <c r="I41" i="2"/>
  <c r="M41" i="2"/>
  <c r="H39" i="2"/>
  <c r="G28" i="1"/>
  <c r="H28" i="1"/>
  <c r="I28" i="1"/>
  <c r="J28" i="1" s="1"/>
  <c r="N29" i="2"/>
  <c r="M28" i="2"/>
  <c r="H27" i="1"/>
  <c r="G27" i="1"/>
  <c r="F26" i="1"/>
  <c r="I27" i="1"/>
  <c r="I11" i="2"/>
  <c r="J11" i="2"/>
  <c r="M11" i="2"/>
  <c r="N11" i="2" s="1"/>
  <c r="G28" i="2"/>
  <c r="G9" i="2"/>
  <c r="G8" i="2" s="1"/>
  <c r="N13" i="2"/>
  <c r="M12" i="2"/>
  <c r="N12" i="2" s="1"/>
  <c r="I12" i="2"/>
  <c r="J12" i="2"/>
  <c r="J28" i="2"/>
  <c r="I28" i="2"/>
  <c r="J7" i="14" l="1"/>
  <c r="N7" i="14" s="1"/>
  <c r="G35" i="2"/>
  <c r="G16" i="2" s="1"/>
  <c r="G15" i="2" s="1"/>
  <c r="M35" i="2"/>
  <c r="H16" i="2"/>
  <c r="J16" i="2" s="1"/>
  <c r="I35" i="2"/>
  <c r="H34" i="2"/>
  <c r="J34" i="2" s="1"/>
  <c r="I36" i="1"/>
  <c r="I35" i="1" s="1"/>
  <c r="G19" i="2"/>
  <c r="G18" i="2" s="1"/>
  <c r="R19" i="2"/>
  <c r="K19" i="2"/>
  <c r="K18" i="2" s="1"/>
  <c r="F29" i="1"/>
  <c r="G30" i="1"/>
  <c r="H30" i="1"/>
  <c r="I30" i="1"/>
  <c r="R22" i="2"/>
  <c r="F22" i="2"/>
  <c r="E22" i="2"/>
  <c r="K22" i="2"/>
  <c r="D20" i="2"/>
  <c r="K34" i="2"/>
  <c r="L35" i="2"/>
  <c r="H33" i="1"/>
  <c r="G33" i="1"/>
  <c r="I33" i="1"/>
  <c r="N41" i="2"/>
  <c r="M39" i="2"/>
  <c r="N39" i="2" s="1"/>
  <c r="D15" i="2"/>
  <c r="E16" i="2"/>
  <c r="F16" i="2"/>
  <c r="R16" i="2"/>
  <c r="K16" i="2"/>
  <c r="H13" i="1"/>
  <c r="G13" i="1"/>
  <c r="J13" i="1"/>
  <c r="N35" i="2"/>
  <c r="M34" i="2"/>
  <c r="F31" i="2"/>
  <c r="E31" i="2"/>
  <c r="F34" i="2"/>
  <c r="D33" i="2"/>
  <c r="D43" i="2" s="1"/>
  <c r="E34" i="2"/>
  <c r="J39" i="2"/>
  <c r="I39" i="2"/>
  <c r="G34" i="2"/>
  <c r="L28" i="2"/>
  <c r="E39" i="2"/>
  <c r="F39" i="2"/>
  <c r="K8" i="2"/>
  <c r="L9" i="2"/>
  <c r="I22" i="2"/>
  <c r="J22" i="2"/>
  <c r="M22" i="2"/>
  <c r="H20" i="2"/>
  <c r="N28" i="2"/>
  <c r="L41" i="2"/>
  <c r="K39" i="2"/>
  <c r="L39" i="2" s="1"/>
  <c r="N9" i="2"/>
  <c r="M8" i="2"/>
  <c r="F13" i="2"/>
  <c r="E13" i="2"/>
  <c r="R13" i="2"/>
  <c r="D12" i="2"/>
  <c r="K13" i="2"/>
  <c r="G31" i="2"/>
  <c r="G13" i="2"/>
  <c r="G12" i="2" s="1"/>
  <c r="G7" i="2" s="1"/>
  <c r="E8" i="2"/>
  <c r="D7" i="2"/>
  <c r="F8" i="2"/>
  <c r="G26" i="1"/>
  <c r="F9" i="1"/>
  <c r="H26" i="1"/>
  <c r="L32" i="2"/>
  <c r="K31" i="2"/>
  <c r="L31" i="2" s="1"/>
  <c r="H39" i="1"/>
  <c r="I39" i="1"/>
  <c r="G39" i="1"/>
  <c r="F15" i="1"/>
  <c r="F37" i="1"/>
  <c r="I8" i="2"/>
  <c r="H7" i="2"/>
  <c r="J8" i="2"/>
  <c r="G22" i="2"/>
  <c r="G20" i="2" s="1"/>
  <c r="G39" i="2"/>
  <c r="J27" i="1"/>
  <c r="I26" i="1"/>
  <c r="M16" i="2" l="1"/>
  <c r="M15" i="2" s="1"/>
  <c r="H15" i="2"/>
  <c r="H33" i="2"/>
  <c r="I33" i="2" s="1"/>
  <c r="I34" i="2"/>
  <c r="I16" i="2"/>
  <c r="G32" i="1"/>
  <c r="F31" i="1"/>
  <c r="H32" i="1"/>
  <c r="E44" i="2"/>
  <c r="F44" i="2"/>
  <c r="E43" i="2"/>
  <c r="F43" i="2"/>
  <c r="K15" i="2"/>
  <c r="L16" i="2"/>
  <c r="K33" i="2"/>
  <c r="L33" i="2" s="1"/>
  <c r="L34" i="2"/>
  <c r="F20" i="2"/>
  <c r="E20" i="2"/>
  <c r="J39" i="1"/>
  <c r="I37" i="1"/>
  <c r="J37" i="1" s="1"/>
  <c r="L22" i="2"/>
  <c r="K20" i="2"/>
  <c r="L20" i="2" s="1"/>
  <c r="L8" i="2"/>
  <c r="F33" i="2"/>
  <c r="E33" i="2"/>
  <c r="F15" i="2"/>
  <c r="D14" i="2"/>
  <c r="D24" i="2" s="1"/>
  <c r="E15" i="2"/>
  <c r="I15" i="1"/>
  <c r="J15" i="1" s="1"/>
  <c r="H15" i="1"/>
  <c r="G15" i="1"/>
  <c r="I20" i="2"/>
  <c r="J20" i="2"/>
  <c r="F12" i="2"/>
  <c r="E12" i="2"/>
  <c r="H37" i="1"/>
  <c r="G37" i="1"/>
  <c r="F7" i="2"/>
  <c r="E7" i="2"/>
  <c r="I29" i="1"/>
  <c r="J29" i="1" s="1"/>
  <c r="J30" i="1"/>
  <c r="N22" i="2"/>
  <c r="M20" i="2"/>
  <c r="N20" i="2" s="1"/>
  <c r="H9" i="1"/>
  <c r="G9" i="1"/>
  <c r="I9" i="1"/>
  <c r="M33" i="2"/>
  <c r="N34" i="2"/>
  <c r="I32" i="1"/>
  <c r="J33" i="1"/>
  <c r="J15" i="2"/>
  <c r="H14" i="2"/>
  <c r="I15" i="2"/>
  <c r="L13" i="2"/>
  <c r="K12" i="2"/>
  <c r="L12" i="2" s="1"/>
  <c r="G14" i="2"/>
  <c r="G24" i="2" s="1"/>
  <c r="J26" i="1"/>
  <c r="J7" i="2"/>
  <c r="I7" i="2"/>
  <c r="N8" i="2"/>
  <c r="M7" i="2"/>
  <c r="G33" i="2"/>
  <c r="G43" i="2" s="1"/>
  <c r="H29" i="1"/>
  <c r="G29" i="1"/>
  <c r="F10" i="1"/>
  <c r="F8" i="1" s="1"/>
  <c r="N16" i="2" l="1"/>
  <c r="H43" i="2"/>
  <c r="J44" i="2" s="1"/>
  <c r="J33" i="2"/>
  <c r="K7" i="2"/>
  <c r="L7" i="2" s="1"/>
  <c r="K14" i="2"/>
  <c r="L14" i="2" s="1"/>
  <c r="L15" i="2"/>
  <c r="G8" i="1"/>
  <c r="H8" i="1"/>
  <c r="N7" i="2"/>
  <c r="I31" i="1"/>
  <c r="J32" i="1"/>
  <c r="N33" i="2"/>
  <c r="M43" i="2"/>
  <c r="N15" i="2"/>
  <c r="M14" i="2"/>
  <c r="N14" i="2" s="1"/>
  <c r="K43" i="2"/>
  <c r="G12" i="1"/>
  <c r="F11" i="1"/>
  <c r="H12" i="1"/>
  <c r="I12" i="1"/>
  <c r="J9" i="1"/>
  <c r="I14" i="2"/>
  <c r="J14" i="2"/>
  <c r="H24" i="2"/>
  <c r="H31" i="1"/>
  <c r="G31" i="1"/>
  <c r="F41" i="1"/>
  <c r="G10" i="1"/>
  <c r="H10" i="1"/>
  <c r="I10" i="1"/>
  <c r="J10" i="1" s="1"/>
  <c r="F24" i="2"/>
  <c r="F25" i="2"/>
  <c r="E25" i="2"/>
  <c r="E24" i="2"/>
  <c r="E14" i="2"/>
  <c r="F14" i="2"/>
  <c r="I43" i="2" l="1"/>
  <c r="J43" i="2"/>
  <c r="I44" i="2"/>
  <c r="K24" i="2"/>
  <c r="L24" i="2" s="1"/>
  <c r="M24" i="2"/>
  <c r="N24" i="2" s="1"/>
  <c r="H42" i="1"/>
  <c r="G41" i="1"/>
  <c r="G42" i="1"/>
  <c r="H41" i="1"/>
  <c r="I8" i="1"/>
  <c r="J31" i="1"/>
  <c r="I41" i="1"/>
  <c r="G11" i="1"/>
  <c r="H11" i="1"/>
  <c r="F16" i="1"/>
  <c r="G16" i="1" s="1"/>
  <c r="I24" i="2"/>
  <c r="I25" i="2"/>
  <c r="J25" i="2"/>
  <c r="J24" i="2"/>
  <c r="L44" i="2"/>
  <c r="L43" i="2"/>
  <c r="N44" i="2"/>
  <c r="N43" i="2"/>
  <c r="J12" i="1"/>
  <c r="I11" i="1"/>
  <c r="J11" i="1" s="1"/>
  <c r="N25" i="2" l="1"/>
  <c r="L25" i="2"/>
  <c r="J19" i="1"/>
  <c r="H16" i="1"/>
  <c r="J41" i="1"/>
  <c r="J42" i="1"/>
  <c r="J8" i="1"/>
  <c r="I16" i="1"/>
  <c r="J16" i="1" s="1"/>
  <c r="J21" i="1" l="1"/>
  <c r="J20" i="1"/>
  <c r="I91" i="3"/>
  <c r="I86" i="3" s="1"/>
  <c r="I37" i="3" s="1"/>
  <c r="I33" i="3" s="1"/>
  <c r="I8" i="3" s="1"/>
  <c r="I7" i="3" s="1"/>
  <c r="G86" i="3"/>
  <c r="G37" i="3" s="1"/>
  <c r="G33" i="3" s="1"/>
  <c r="G8" i="3" s="1"/>
  <c r="G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จารุกิตติ์ จุลละครินทร์</author>
  </authors>
  <commentList>
    <comment ref="A3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======
ID#AAABFwaFAdM
นฤมล ถึกไทย    (2024-02-02 01:53:58)
นฤมล ถึกไทย:</t>
        </r>
      </text>
    </comment>
    <comment ref="D18" authorId="1" shapeId="0" xr:uid="{FD46DA3A-021B-4246-A812-F2DFE73083D2}">
      <text>
        <r>
          <rPr>
            <b/>
            <sz val="9"/>
            <color indexed="81"/>
            <rFont val="Tahoma"/>
            <family val="2"/>
          </rPr>
          <t>จารุกิตติ์ จุลละครินทร์:</t>
        </r>
        <r>
          <rPr>
            <sz val="9"/>
            <color indexed="81"/>
            <rFont val="Tahoma"/>
            <family val="2"/>
          </rPr>
          <t xml:space="preserve">
ปัดเศษ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Q10" authorId="0" shapeId="0" xr:uid="{00000000-0006-0000-0D00-000001000000}">
      <text>
        <r>
          <rPr>
            <sz val="11"/>
            <color theme="1"/>
            <rFont val="Calibri"/>
            <family val="2"/>
            <scheme val="minor"/>
          </rPr>
          <t>======
ID#AAABFwaFAdE
นฤมล ถึกไทย    (2024-02-02 01:53:58)
แผนงานบุคลากรภาครัฐ
งบบุคลากร
1. เงินเดือนและค่าจ้างประจำ
2. ค่าจ้างชั่วคราว
3. ค่าตอบแทนพนักงานราชการ</t>
        </r>
      </text>
    </comment>
    <comment ref="R10" authorId="0" shapeId="0" xr:uid="{00000000-0006-0000-0D00-000002000000}">
      <text>
        <r>
          <rPr>
            <sz val="11"/>
            <color theme="1"/>
            <rFont val="Calibri"/>
            <family val="2"/>
            <scheme val="minor"/>
          </rPr>
          <t>======
ID#AAABFwaFAc4
นฤมล ถึกไทย    (2024-02-02 01:53:58)
แผนงานบุคลากรภาครัฐ
งบบุคลากร
1. เงินเดือนและค่าจ้างประจำ
2. ค่าจ้างชั่วคราว
3. ค่าตอบแทนพนักงานราชการ</t>
        </r>
      </text>
    </comment>
    <comment ref="R24" authorId="0" shapeId="0" xr:uid="{00000000-0006-0000-0D00-000003000000}">
      <text>
        <r>
          <rPr>
            <sz val="11"/>
            <color theme="1"/>
            <rFont val="Calibri"/>
            <family val="2"/>
            <scheme val="minor"/>
          </rPr>
          <t>======
ID#AAABFwaFAdY
นฤมล ถึกไทย    (2024-02-02 01:53:58)
แผนงานบุคลากรภาครัฐ
งบดำเนินงาน
1. ค่าตอบแทน ใช้สอยและวัสดุ</t>
        </r>
      </text>
    </comment>
    <comment ref="R37" authorId="0" shapeId="0" xr:uid="{00000000-0006-0000-0D00-000004000000}">
      <text>
        <r>
          <rPr>
            <sz val="11"/>
            <color theme="1"/>
            <rFont val="Calibri"/>
            <family val="2"/>
            <scheme val="minor"/>
          </rPr>
          <t>======
ID#AAABFwaFAdU
นฤมล ถึกไทย    (2024-02-02 01:53:58)
แผนงานพื้นฐาน
งบดำเนินงาน
1. ค่าตอบแทน ใช้สอยและวัสดุ
2. ค่าสาธารณูปโภค</t>
        </r>
      </text>
    </comment>
    <comment ref="R98" authorId="0" shapeId="0" xr:uid="{00000000-0006-0000-0D00-000005000000}">
      <text>
        <r>
          <rPr>
            <sz val="11"/>
            <color theme="1"/>
            <rFont val="Calibri"/>
            <family val="2"/>
            <scheme val="minor"/>
          </rPr>
          <t>======
ID#AAABFwaFAcw
นฤมล ถึกไทย    (2024-02-02 01:53:58)
แผนงานพื้นฐาน
งบลงทุน
1. ค่าครุภัณฑ์ ที่ดินและสิ่งก่อสร้าง</t>
        </r>
      </text>
    </comment>
    <comment ref="R118" authorId="0" shapeId="0" xr:uid="{00000000-0006-0000-0D00-000006000000}">
      <text>
        <r>
          <rPr>
            <sz val="11"/>
            <color theme="1"/>
            <rFont val="Calibri"/>
            <family val="2"/>
            <scheme val="minor"/>
          </rPr>
          <t>======
ID#AAABFwaFAdA
นฤมล ถึกไทย    (2024-02-02 01:53:58)
แผนงานพื้นฐาน
งบรายจ่ายอื่น
1. ค่าใช้จ่ายดำเนินงาน
2. รายจ่ายอื่น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F61" authorId="0" shapeId="0" xr:uid="{00000000-0006-0000-1200-000001000000}">
      <text>
        <r>
          <rPr>
            <sz val="11"/>
            <color theme="1"/>
            <rFont val="Calibri"/>
            <family val="2"/>
            <scheme val="minor"/>
          </rPr>
          <t>======
ID#AAABFwaFAdI
เจริญศักดิ์ ริมดุสิต    (2024-02-02 01:53:58)
บก.72,73และ 99/67</t>
        </r>
      </text>
    </comment>
    <comment ref="AF62" authorId="0" shapeId="0" xr:uid="{00000000-0006-0000-1200-000002000000}">
      <text>
        <r>
          <rPr>
            <sz val="11"/>
            <color theme="1"/>
            <rFont val="Calibri"/>
            <family val="2"/>
            <scheme val="minor"/>
          </rPr>
          <t>======
ID#AAABFwaFAc8
เจริญศักดิ์ ริมดุสิต    (2024-02-02 01:53:58)
บก.71 และ 113/67</t>
        </r>
      </text>
    </comment>
  </commentList>
</comments>
</file>

<file path=xl/sharedStrings.xml><?xml version="1.0" encoding="utf-8"?>
<sst xmlns="http://schemas.openxmlformats.org/spreadsheetml/2006/main" count="3726" uniqueCount="2049">
  <si>
    <t xml:space="preserve"> หน่วย : บาท</t>
  </si>
  <si>
    <t>หมวด/รายการ</t>
  </si>
  <si>
    <t>งบประมาณที่ได้รับ</t>
  </si>
  <si>
    <t>เงินจัดสรรที่ได้รับ</t>
  </si>
  <si>
    <t>การสำรองเงิน</t>
  </si>
  <si>
    <t>เบิกจ่ายตามระบบ GFMIS</t>
  </si>
  <si>
    <t>เงินจัดสรรคงเหลือ</t>
  </si>
  <si>
    <t>(ตาม พ.ร.บ.)</t>
  </si>
  <si>
    <t>(หลังโอนเปลี่ยนแปลง)</t>
  </si>
  <si>
    <t>(PO.ในระบบGFMIS)</t>
  </si>
  <si>
    <t>เบิกจ่าย</t>
  </si>
  <si>
    <t>(%) เบิกจ่าย</t>
  </si>
  <si>
    <t>ตามระบบ</t>
  </si>
  <si>
    <t>(%) คงเหลือ</t>
  </si>
  <si>
    <t>ต่อเงินงบประมาณ
(ตาม พ.ร.บ.)</t>
  </si>
  <si>
    <t>ต่อเงินจัดสรร</t>
  </si>
  <si>
    <t>GFMIS</t>
  </si>
  <si>
    <t>(1)</t>
  </si>
  <si>
    <t>(2)</t>
  </si>
  <si>
    <t>(3)</t>
  </si>
  <si>
    <t>(4)</t>
  </si>
  <si>
    <t>(5)</t>
  </si>
  <si>
    <t>(6)=(5)/(1)*100</t>
  </si>
  <si>
    <t>(7)=(5)/(2)*100</t>
  </si>
  <si>
    <t>(8)=(2)-(3)-(4)-(5)</t>
  </si>
  <si>
    <t>(9)=(8)/(2)*100</t>
  </si>
  <si>
    <t>แผนงานบุคลากรภาครัฐ</t>
  </si>
  <si>
    <t>งบบุคลากร</t>
  </si>
  <si>
    <t>งบดำเนินงาน</t>
  </si>
  <si>
    <t>แผนงานพื้นฐาน</t>
  </si>
  <si>
    <t>งบลงทุน</t>
  </si>
  <si>
    <t>งบรายจ่ายอื่น (ลักษณะงบดำเนินงาน)</t>
  </si>
  <si>
    <t>งบรายจ่ายอื่น (ลักษณะงบลงทุน)</t>
  </si>
  <si>
    <t>รวม</t>
  </si>
  <si>
    <t>ร้อยละต่องบประมาณที่ได้รับ (ตาม พ.ร.บ.)</t>
  </si>
  <si>
    <t xml:space="preserve">ร้อยละต่อเงินจัดสรรที่ได้รับ </t>
  </si>
  <si>
    <t>ผลเบิกจ่าย (เบิกจ่ายสะสม+PO)</t>
  </si>
  <si>
    <t>ที่มาของข้อมูล : ส่วนบริหารงานคลัง</t>
  </si>
  <si>
    <t>ร้อยละการใช้จ่ายต่องบประมาณ (ตาม พ.ร.บ.)</t>
  </si>
  <si>
    <t>ร้อยละการใช้จ่ายต่อเงินจัดสรร (หลังโอนเปลี่ยนแปลง)</t>
  </si>
  <si>
    <t>งานเสนอแนะนโยบายและมาตรการด้านการคลังและการเงินและเศรษฐกิจที่เกี่ยวข้อง (ในประเทศ)</t>
  </si>
  <si>
    <t>รายการค่าใช้จ่ายบุคลากรภาครัฐ ส่งเสริมเสถียรภาพทางเศรษฐกิจ</t>
  </si>
  <si>
    <t>เงินเดือนและค่าจ้างประจำ</t>
  </si>
  <si>
    <t>ค่าจ้างพนักงานราชการ</t>
  </si>
  <si>
    <t>ค่าตอบแทน ใช้สอยและวัสดุ</t>
  </si>
  <si>
    <t>ค่าสาธารณูปโภค</t>
  </si>
  <si>
    <t>ค่าครุภัณฑ์ ที่ดินและสิ่งก่อสร้าง</t>
  </si>
  <si>
    <t>งบรายจ่ายอื่น</t>
  </si>
  <si>
    <t>รายจ่ายอื่น - ดำเนินงาน</t>
  </si>
  <si>
    <t>รายจ่ายอื่น - ทุน(ค่าหุ้นเพิ่มทุน)</t>
  </si>
  <si>
    <t>งานเสนอแนะนโยบายและมาตรการด้านการคลังและการเงินและเศรษฐกิจที่เกี่ยวข้อง (ต่างประเทศ)</t>
  </si>
  <si>
    <t>ค่าจ้างชั่วคราว</t>
  </si>
  <si>
    <t>รายจ่ายอื่น</t>
  </si>
  <si>
    <t>.</t>
  </si>
  <si>
    <t>ยอดใบกันค้าง</t>
  </si>
  <si>
    <t>เบิกจ่ายรวมใบกัน</t>
  </si>
  <si>
    <t>คาดว่า</t>
  </si>
  <si>
    <t>ตามใบกัน</t>
  </si>
  <si>
    <t>เงินงบประมาณ</t>
  </si>
  <si>
    <t xml:space="preserve">  </t>
  </si>
  <si>
    <t xml:space="preserve">ต่อเงินงบประมาณ
(ตาม พ.ร.บ.)
</t>
  </si>
  <si>
    <t>New GFMIS</t>
  </si>
  <si>
    <t>คงเหลือทั้งสิ้น</t>
  </si>
  <si>
    <t>(4)=(3)/(1)*100</t>
  </si>
  <si>
    <t>(5)=(3)/(2)*100</t>
  </si>
  <si>
    <t>(6)</t>
  </si>
  <si>
    <t>(7)=(3)+(6)</t>
  </si>
  <si>
    <t>(8)=(7)/(1)*100</t>
  </si>
  <si>
    <t>(9)=(7)/(2)*100</t>
  </si>
  <si>
    <t>(10)=(2)-(3)</t>
  </si>
  <si>
    <t>(11)=(10)/(2)*100</t>
  </si>
  <si>
    <t>(12)=(2)-(7)</t>
  </si>
  <si>
    <t>(13)=(12)/(2)*100</t>
  </si>
  <si>
    <t xml:space="preserve">แผนงานบุคลากรภาครัฐ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</si>
  <si>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</si>
  <si>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</si>
  <si>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>รายจ่ายอื่น - ลงทุน (ค่าหุ้นเพิ่มทุน)</t>
  </si>
  <si>
    <t>รายการ</t>
  </si>
  <si>
    <t>งบประมาณ</t>
  </si>
  <si>
    <t>เงินจัดสรร</t>
  </si>
  <si>
    <t>ในประเทศ</t>
  </si>
  <si>
    <t>ต่างประเทศ</t>
  </si>
  <si>
    <t>ที่ได้รับ</t>
  </si>
  <si>
    <t>เงินประจำงวด</t>
  </si>
  <si>
    <t xml:space="preserve">เบิกจ่าย </t>
  </si>
  <si>
    <t>ในและต่างประเทศ</t>
  </si>
  <si>
    <t>คงเหลือ</t>
  </si>
  <si>
    <t>รวมใบกัน</t>
  </si>
  <si>
    <t>(2)=(3)+(6)</t>
  </si>
  <si>
    <t>(5)=(3)-(4)</t>
  </si>
  <si>
    <t>(7)</t>
  </si>
  <si>
    <t>(8)=(6)-(7)</t>
  </si>
  <si>
    <t>(9)=(4)+(7)</t>
  </si>
  <si>
    <t>งบประมาณทั้งหมด (รวมวิจัย)</t>
  </si>
  <si>
    <t>งบประมาณทั้งหมด (ไม่รวมวิจัย)</t>
  </si>
  <si>
    <t>1. งบบุคลากร</t>
  </si>
  <si>
    <t>1.1 เงินเดือนและค่าจ้างประจำ</t>
  </si>
  <si>
    <t xml:space="preserve">     1.1.1 เงินเดือน</t>
  </si>
  <si>
    <t xml:space="preserve">           - เงินเดือน (อัตราเดิม)</t>
  </si>
  <si>
    <t xml:space="preserve">           - เงินประจำตำแหน่ง</t>
  </si>
  <si>
    <t xml:space="preserve">           -  เงิน พ.ข.ต.</t>
  </si>
  <si>
    <t xml:space="preserve">           -  เงินตอบแทนรายเดือน</t>
  </si>
  <si>
    <t xml:space="preserve">              1. เงินตอบแทนรายเดือนสำหรับข้าราชการ</t>
  </si>
  <si>
    <t xml:space="preserve">              2. เงินเพิ่มรายเดือนเท่ากับเงินประจำตำแหน่ง</t>
  </si>
  <si>
    <t xml:space="preserve">              3. เงิน พ.ต.ก.</t>
  </si>
  <si>
    <t xml:space="preserve">              4. เงินเพิ่มพัสดุ (พ.พ.ด.)</t>
  </si>
  <si>
    <t xml:space="preserve">     1.1.2 ค่าจ้างประจำ</t>
  </si>
  <si>
    <t>1.2 ค่าจ้างชั่วคราว</t>
  </si>
  <si>
    <t>1.3 ค่าตอบแทนพนักงานราชการ</t>
  </si>
  <si>
    <t>2. งบดำเนินงาน</t>
  </si>
  <si>
    <t>2.1 ค่าตอบแทน ใช้สอยและวัสดุ</t>
  </si>
  <si>
    <t>2.1.1 ค่าตอบแทน</t>
  </si>
  <si>
    <t>1) ค่าเช่าบ้านข้าราชการในต่างประเทศ</t>
  </si>
  <si>
    <t>2) เงินตอบแทนพิเศษของข้าราชการและลูกจ้างประจำที่ได้รับเงินเดือนถึงขั้นสูงของอันดับ</t>
  </si>
  <si>
    <t>3) เงินพิเศษที่จ่ายให้แก่ลูกจ้างของสำนักราชการในต่างประเทศตามประเพณีท้องถิ่น</t>
  </si>
  <si>
    <t>2.1.2 ค่าใช้สอย</t>
  </si>
  <si>
    <t>5) เงินสมทบกองทุนประกันสังคม</t>
  </si>
  <si>
    <t>6) เงินสมทบกองทุนเงินทดแทน</t>
  </si>
  <si>
    <t>ผลผลิต : นโยบาย มาตรการด้านการคลังการเงินและเศรษฐกิจที่เกี่ยวข้อง</t>
  </si>
  <si>
    <t xml:space="preserve"> : ติดตาม จัดทำ นำเสนอและทำความเข้าใจในนโยบายและมาตรการ</t>
  </si>
  <si>
    <t>ด้านการคลัง ระบบการเงิน และเศรษฐกิจมหาภาคระหว่างประเทศ</t>
  </si>
  <si>
    <t xml:space="preserve"> : ดำเนินภารกิจที่ปรึกษาเศรษฐกิจการคลังในต่างประเทศ</t>
  </si>
  <si>
    <t>1. งบดำเนินงาน</t>
  </si>
  <si>
    <t>1.1 ค่าตอบแทน ใช้สอยและวัสดุ</t>
  </si>
  <si>
    <t>ค่าตอบแทน</t>
  </si>
  <si>
    <t>1) ค่าเบี้ยประชุมกรรมการ</t>
  </si>
  <si>
    <t>2) ค่าตอบแทนผู้ปฏิบัติงานให้ราชการ</t>
  </si>
  <si>
    <t>3) ค่าตอบแทนปฏิบัติงานนอกเวลาราชการ</t>
  </si>
  <si>
    <t>4) ค่ารักษาพยาบาลสำหรับข้าราชการและลูกจ้างในต่างประเทศ</t>
  </si>
  <si>
    <t>5) เงินช่วยเหลือการศึกษาบุตรในต่างประเทศ</t>
  </si>
  <si>
    <t xml:space="preserve">6) ค่าตอบแทนเหมาจ่ายแทนการจัดหารถประจำตำแหน่ง  </t>
  </si>
  <si>
    <t>ค่าใช้สอย</t>
  </si>
  <si>
    <t>7) ค่าซ่อมแซมครุภัณฑ์</t>
  </si>
  <si>
    <t xml:space="preserve"> - ครุภัณฑ์</t>
  </si>
  <si>
    <t xml:space="preserve"> - ยานพาหนะ</t>
  </si>
  <si>
    <t>8) ค่าใช้จ่ายในการสัมมนาและฝึกอบรม</t>
  </si>
  <si>
    <t>9) ค่ารับรองและพิธีการ</t>
  </si>
  <si>
    <t xml:space="preserve"> - ค่ารับรองและพิธีการ (อาหารและเครื่องดื่ม)</t>
  </si>
  <si>
    <t xml:space="preserve"> - ค่ารับรองและพิธีการ (พิธีการ)</t>
  </si>
  <si>
    <t xml:space="preserve"> - ค่ารับรองและพิธีการ (รับรองชาวต่างชาติ)</t>
  </si>
  <si>
    <t>10) ค่าจ้างเหมาทำความสะอาดสำนักงานในต่างประเทศ</t>
  </si>
  <si>
    <t>11) ค่าภาษีและค่าธรรมเนียมและค่าใช้จ่ายอื่นๆ</t>
  </si>
  <si>
    <t>12) ค่าใช้จ่ายในการเดินทางไปราชการ</t>
  </si>
  <si>
    <t>13) ค่าใช้จ่ายที่สถานเอกอัครราชทูตไทยเรียกเก็บ</t>
  </si>
  <si>
    <t>14) เงินสมทบเบี้ยประกันสุขภาพลูกจ้างท้องถิ่น</t>
  </si>
  <si>
    <t>15) ค่าประกันภัยรถยนต์ในต่างประเทศ</t>
  </si>
  <si>
    <t>16) ค่าเช่าที่จอดรถในต่างประเทศ</t>
  </si>
  <si>
    <t xml:space="preserve"> - ค่าจ้างบำรุงรักษาและซ่อมแซมลิฟต์</t>
  </si>
  <si>
    <t xml:space="preserve"> - ค่าจ้างบำรุงรักษาเครื่องปรับอากาศ</t>
  </si>
  <si>
    <t xml:space="preserve"> - ค่าจ้างเหมากำจัดและป้องกัน หนู ปลวก มด</t>
  </si>
  <si>
    <t xml:space="preserve"> - ค่าจ้างเหมาทำความสะอาดสำนักงานเศรษฐกิจการคลัง</t>
  </si>
  <si>
    <t xml:space="preserve"> - ค่าจ้างยามรักษาความปลอดภัยสำนักงานเศรษฐกิจการคลัง</t>
  </si>
  <si>
    <t xml:space="preserve"> - ค่าจ้างจัดสวนดูแลรักษาต้นไม้</t>
  </si>
  <si>
    <t xml:space="preserve"> - ค่าจ้างบริการเติมน้ำยาเครื่องฉีดสเปรย์น้ำหอมอัตโนมัติ</t>
  </si>
  <si>
    <t xml:space="preserve"> - ค่าจ้างดูแลรักษาระบบตู้สาขาโทรศัพท์อัตโนมัติ</t>
  </si>
  <si>
    <t>ค่าวัสดุ</t>
  </si>
  <si>
    <t>25) วัสดุสำนักงานและวัสดุอื่นๆ</t>
  </si>
  <si>
    <t>26) วัสดุเชื้อเพลิงและหล่อลื่น</t>
  </si>
  <si>
    <t>27) วัสดุที่สถานเอกอัครราชทูตไทยเรียกเก็บ</t>
  </si>
  <si>
    <t>26) วัสดุงานบ้านงานครัว</t>
  </si>
  <si>
    <t>27) วัสดุไฟฟ้าและวิทยุ</t>
  </si>
  <si>
    <t>28) วัสดุคอมพิวเตอร์</t>
  </si>
  <si>
    <t>29) วัสดุยานพาหนะและขนส่ง</t>
  </si>
  <si>
    <t>30) วัสดุหนังสือ วารสาร และตำรา</t>
  </si>
  <si>
    <t>1.2 ค่าสาธารณูปโภค</t>
  </si>
  <si>
    <t>1) ค่าไฟฟ้า</t>
  </si>
  <si>
    <t>2) ค่าโทรศัพท์</t>
  </si>
  <si>
    <t>3) ค่าไปรษณีย์</t>
  </si>
  <si>
    <t>4) ค่าใช้จ่ายเกี่ยวกับเครื่องโทรสารและโทรพิมพ์</t>
  </si>
  <si>
    <t>5) ค่าสาธารณูปโภคที่สถานทูตไทยเรียกเก็บ</t>
  </si>
  <si>
    <t>6) ค่าบริการสื่อสารและโทรคมนาคม</t>
  </si>
  <si>
    <t xml:space="preserve"> - ค่าเช่าบริการ Reuture/Rifinitive</t>
  </si>
  <si>
    <t xml:space="preserve"> - ค่าสมาชิกเคเบิลทีวี</t>
  </si>
  <si>
    <t xml:space="preserve"> - ค่าโทรคมนาคมหมายเลขพิเศษ 1359</t>
  </si>
  <si>
    <t xml:space="preserve"> - ค่าเช่าและติดตั้ง Internet และ Leadline</t>
  </si>
  <si>
    <t xml:space="preserve"> - ค่าบริการรับข้อมูล CEIC</t>
  </si>
  <si>
    <t>2. งบลงทุน</t>
  </si>
  <si>
    <t>2.1 ค่าครุภัณฑ์ ที่ดินและสิ่งก่อสร้าง</t>
  </si>
  <si>
    <t>2.1.1 ค่าครุภัณฑ์</t>
  </si>
  <si>
    <t>2.1.1.1 ครุภัณฑ์สำนักงาน</t>
  </si>
  <si>
    <t>2.1.1.2 ครุภัณฑ์คอมพิวเตอร์</t>
  </si>
  <si>
    <t>2.1.1.3 ครุภัณฑ์ยานพาหนะและขนส่ง</t>
  </si>
  <si>
    <t>1) ครุภัณฑ์ยานพาหนะและขนส่งที่มีราคาต่อหน่วยต่ำกว่า 1 ล้านบาท</t>
  </si>
  <si>
    <t>2.1.1.4 ครุภัณฑ์ไฟฟ้าและวิทยุ</t>
  </si>
  <si>
    <t>1) ครุภัณฑ์ไฟฟ้าและวิทยุที่มีราคาต่อหน่วยต่ำกว่า 1 ล้านบาท</t>
  </si>
  <si>
    <t>2.1.1.5 ครุภัณฑ์ก่อสร้าง</t>
  </si>
  <si>
    <t>1) ครุภัณฑ์ก่อสร้างที่มีราคาต่อหน่วยต่ำกว่า 1 ล้านบาท</t>
  </si>
  <si>
    <t>3. งบรายจ่ายอื่น</t>
  </si>
  <si>
    <t>1) ค่าใช้จ่ายดำเนินงาน</t>
  </si>
  <si>
    <t>1) ค่าใช้จ่ายโครงการเวทีสำนักงานเศรษฐกิจการคลัง 
(FPO forum)</t>
  </si>
  <si>
    <t>2) ค่าใช้จ่ายในการเดินทางไปราชการต่างประเทศชั่วคราว</t>
  </si>
  <si>
    <t>3) โครงการการแก้ไขปัญหาหนี้นอกระบบอย่างบูรณาการและยั่งยืน</t>
  </si>
  <si>
    <t>4) โครงการป้องปรามการเงินนอกระบบ</t>
  </si>
  <si>
    <t>5) โครงการดำเนินงานตามพระราชบัญญัติสถาบันการเงินประชาชน พ.ศ. 2562 (กพช.การเงิน ปชช.)</t>
  </si>
  <si>
    <t>6) โครงการเสริมสร้างความรู้ความเข้าใจเรื่องการคุ้มครองเงินฝากและการคุ้มครองผู้ใช้บริการทางการเงินให้กับประชาชน ภาคธุรกิจและองค์กรปกครองส่วนท้องถิ่น</t>
  </si>
  <si>
    <t>7) ค่าใช้จ่ายสำหรับการเป็นเจ้าภาพจัดการประชุมประจำปีสภาผู้ว่าการธนาคารโลกและกองทุนการเงินระหว่างประเทศ ปี 2569</t>
  </si>
  <si>
    <t>งบรายจ่ายอื่น (เบิกแทนสำนักงานปลัดกระทรวงการคลัง)</t>
  </si>
  <si>
    <t>1) ค่าใช้จ่ายในการเจรจาธุรกิจและประชุมนานาชาติ</t>
  </si>
  <si>
    <t>2) ค่าใช้จ่ายในการขยายฐานการลงทุนจากต่างประเทศ (Roadshow)</t>
  </si>
  <si>
    <t>01-100</t>
  </si>
  <si>
    <t>ค่าตอบแทนรายเดือน</t>
  </si>
  <si>
    <t>ว/ด/ป</t>
  </si>
  <si>
    <t>บก.</t>
  </si>
  <si>
    <t>สำนัก</t>
  </si>
  <si>
    <t>เงินเดือน</t>
  </si>
  <si>
    <t>ค่าจ้างประจำ</t>
  </si>
  <si>
    <t>เงินประจำตำแหน่ง</t>
  </si>
  <si>
    <t>เงิน พ.ต.ก.</t>
  </si>
  <si>
    <t>รวมเงิน</t>
  </si>
  <si>
    <t>เงินต้นปี</t>
  </si>
  <si>
    <t>เงินงวดคงเหลือ ต.ค.</t>
  </si>
  <si>
    <t>รายละเอียด</t>
  </si>
  <si>
    <t>ตุลาคม</t>
  </si>
  <si>
    <t>รวมเดือน ต.ค.</t>
  </si>
  <si>
    <t xml:space="preserve">เบิกสะสม ต.ค. </t>
  </si>
  <si>
    <t xml:space="preserve">เงินงวดคงเหลือ ต.ค. </t>
  </si>
  <si>
    <t>พฤศจิกายน</t>
  </si>
  <si>
    <t xml:space="preserve">รวมเดือน พ.ย. </t>
  </si>
  <si>
    <t xml:space="preserve">เบิกสะสม พ.ย. </t>
  </si>
  <si>
    <t xml:space="preserve">เงินงวดคงเหลือ พ.ย. </t>
  </si>
  <si>
    <t>ธันวาคม</t>
  </si>
  <si>
    <t>รวมเดือน ธ.ค.</t>
  </si>
  <si>
    <t>เบิกสะสม ธ.ค.</t>
  </si>
  <si>
    <t>เงินงวดคงเหลือ ธ.ค.</t>
  </si>
  <si>
    <t>มกราคม</t>
  </si>
  <si>
    <t>รวมเดือน ม.ค.</t>
  </si>
  <si>
    <t>เบิกสะสม ม.ค.</t>
  </si>
  <si>
    <t>เงินงวดคงเหลือ ม.ค.</t>
  </si>
  <si>
    <t>กุมภาพันธ์</t>
  </si>
  <si>
    <t>รวมเดือน ก.พ.</t>
  </si>
  <si>
    <t>เบิกสะสม ก.พ.</t>
  </si>
  <si>
    <t>เงินงวดคงเหลือ ก.พ.</t>
  </si>
  <si>
    <t>มีนาคม</t>
  </si>
  <si>
    <t>รวมเดือน มี.ค.</t>
  </si>
  <si>
    <t>เบิกสะสม มี.ค.</t>
  </si>
  <si>
    <t>เงินงวดคงเหลือ มี.ค.</t>
  </si>
  <si>
    <t>เมษายน</t>
  </si>
  <si>
    <t>รวมเดือน เม.ย.</t>
  </si>
  <si>
    <t>เบิกสะสม เม.ย.</t>
  </si>
  <si>
    <t>เงินงวดคงเหลือ เม.ย.</t>
  </si>
  <si>
    <t>พฤษภาคม</t>
  </si>
  <si>
    <t>รวมเดือน พ.ค.</t>
  </si>
  <si>
    <t>เบิกสะสม พ.ค.</t>
  </si>
  <si>
    <t>เงินงวดคงเหลือ พ.ค.</t>
  </si>
  <si>
    <t>มิถุนายน</t>
  </si>
  <si>
    <t>รวมเดือน มิ.ย.</t>
  </si>
  <si>
    <t>เบิกสะสม มิ.ย.</t>
  </si>
  <si>
    <t>เงินงวดคงเหลือ มิ.ย.</t>
  </si>
  <si>
    <t>กรกฎาคม</t>
  </si>
  <si>
    <t>รวมเดือน ก.ค.</t>
  </si>
  <si>
    <t>เบิกสะสม ก.ค.</t>
  </si>
  <si>
    <t>เงินงวดคงเหลือ ก.ค.</t>
  </si>
  <si>
    <t>สิงหาคม</t>
  </si>
  <si>
    <t>รวมเดือน ส.ค.</t>
  </si>
  <si>
    <t>เบิกสะสม ส.ค.</t>
  </si>
  <si>
    <t>เงินงวดคงเหลือ ส.ค.</t>
  </si>
  <si>
    <t>กันยายน</t>
  </si>
  <si>
    <t>รวมเดือน ก.ย.</t>
  </si>
  <si>
    <t>เบิกสะสม ก.ย.</t>
  </si>
  <si>
    <t>เงินงวดคงเหลือ ก.ย.</t>
  </si>
  <si>
    <t>เงินงวดคงเหลือ ต.ค</t>
  </si>
  <si>
    <t xml:space="preserve">รวมเดือน ต.ค. </t>
  </si>
  <si>
    <t>ฎ763/3600000608</t>
  </si>
  <si>
    <t>17/6/2024</t>
  </si>
  <si>
    <t xml:space="preserve">                        </t>
  </si>
  <si>
    <t>ค่าตอบแทนใช้สอยภาครัฐ</t>
  </si>
  <si>
    <t>ฎ934/67</t>
  </si>
  <si>
    <t>21/6/2024</t>
  </si>
  <si>
    <t>ฎ1034/67</t>
  </si>
  <si>
    <t>ฎ1170/67</t>
  </si>
  <si>
    <t>ค่าเบี้ยประชุมกรรมการ</t>
  </si>
  <si>
    <t>ค่าตอบแทนผู้ปฏิบัติงาน
ให้ราชการ</t>
  </si>
  <si>
    <t>ค่าตอบแทนเหมาจ่าย
แทนการจัดหารถประจำตำแหน่ง</t>
  </si>
  <si>
    <t>ว.ด.ป.</t>
  </si>
  <si>
    <t>เลขที่ฎีกา</t>
  </si>
  <si>
    <t>ยอดตามฎีกา</t>
  </si>
  <si>
    <t>ยอดคืนคลัง/ลดยอด</t>
  </si>
  <si>
    <t>หมายเหตุ</t>
  </si>
  <si>
    <t>ฎ380/67</t>
  </si>
  <si>
    <t>ฎ379/67</t>
  </si>
  <si>
    <t>จ้างเหมาบริการ</t>
  </si>
  <si>
    <t>ค่าซ่อมแซมครุภัณฑ์</t>
  </si>
  <si>
    <t>ค่าซ่อมยานพาหนะ</t>
  </si>
  <si>
    <t>คชจ.ฝึกอบรม 
(ในแผน)</t>
  </si>
  <si>
    <t>คชจ.ฝึกอบรม 
นอกแผน (ลงทะเบียน)</t>
  </si>
  <si>
    <t>คชจ.ฝึกอบรม 
นอกแผน (อาหารว่าง)</t>
  </si>
  <si>
    <t>คชจ.ฝึกอบรม 
นอกแผน (วิทยากร)</t>
  </si>
  <si>
    <t>คชจ.ฝึกอบรม 
นอกแผน (ค่าเดินทาง)</t>
  </si>
  <si>
    <t>ค่ารับรองและพิธีการ 
(อาหารและเครื่องดื่ม)</t>
  </si>
  <si>
    <t>ค่ารับรองและพิธีการ 
(พิธีการ)</t>
  </si>
  <si>
    <t>ค่ารับรองและพิธีการ 
(รับรองชาวต่างประเทศ)</t>
  </si>
  <si>
    <t>คชจ.อื่นๆ ค่าภาษีและค่าธรรมเนียม</t>
  </si>
  <si>
    <t>คชจ.เดินทาง</t>
  </si>
  <si>
    <t>ค่าโยกย้าย-สหราช</t>
  </si>
  <si>
    <t>ค่าโยกย้าย-วอชิงตัน</t>
  </si>
  <si>
    <t>ค่าโยกย้าย-โตเกียว</t>
  </si>
  <si>
    <t>ค่าซ่อมแซมลิฟต์</t>
  </si>
  <si>
    <t>ค่าบำรุงเครื่องปรับอากาศ</t>
  </si>
  <si>
    <t>กำจัดปลวก</t>
  </si>
  <si>
    <t>ทำความสะอาด</t>
  </si>
  <si>
    <t>ยามรักษาปลอดภัย</t>
  </si>
  <si>
    <t>จัดสวน</t>
  </si>
  <si>
    <t>ฉีดสเปรย์</t>
  </si>
  <si>
    <t>คอมฯแม่ข่าย</t>
  </si>
  <si>
    <t>ค่าเช่าทรัพย์สิน</t>
  </si>
  <si>
    <t>คชจ.จัดทำรายงาน</t>
  </si>
  <si>
    <t>Total</t>
  </si>
  <si>
    <t>คชจ.เดินทางในประเทศ สำหรับการประชุมเจ้าหน้าที่อาวุโสกระทรวงการคลังและธนาคารกลางอาเซียน+3 (AFCDM+3)</t>
  </si>
  <si>
    <t>ฎ.347/3600000263</t>
  </si>
  <si>
    <t>คืนเงินราชการ</t>
  </si>
  <si>
    <t>ฎ383/67</t>
  </si>
  <si>
    <t>ฎ382/67</t>
  </si>
  <si>
    <t>ฎ381/67</t>
  </si>
  <si>
    <t>กศร. 3610</t>
  </si>
  <si>
    <t>318/67</t>
  </si>
  <si>
    <t>320/67</t>
  </si>
  <si>
    <t>400/67</t>
  </si>
  <si>
    <t>กนค.3555</t>
  </si>
  <si>
    <t>401/67</t>
  </si>
  <si>
    <t>กนค.3545</t>
  </si>
  <si>
    <t>13/06/2024</t>
  </si>
  <si>
    <t>14/06/2024</t>
  </si>
  <si>
    <t>คืนเงินราชการ บก.431/67 ฎ.903/67</t>
  </si>
  <si>
    <t>ฎ1197/67</t>
  </si>
  <si>
    <t>ฎ1236/67</t>
  </si>
  <si>
    <t>ค่าไฟฟ้า</t>
  </si>
  <si>
    <t>ค่าโทรศัพท์เคลื่อนที่</t>
  </si>
  <si>
    <t>ค่าโทรศัพท์สำนักงาน</t>
  </si>
  <si>
    <t>ค่าไปรษณีย์</t>
  </si>
  <si>
    <t>ค่าเคเบิลทีวี</t>
  </si>
  <si>
    <t>หมายเลขพิเศษ</t>
  </si>
  <si>
    <t>ค่าINTERNET</t>
  </si>
  <si>
    <t>ค่า CEIC</t>
  </si>
  <si>
    <t>วัสดุงานบ้านงานครัว</t>
  </si>
  <si>
    <t>วัสดุไฟฟ้าและวิทยุ</t>
  </si>
  <si>
    <t>วัสดุคอมพิวเตอร์</t>
  </si>
  <si>
    <t>ครุภัณฑ์คอมพิวเตอร์</t>
  </si>
  <si>
    <t>โครงการพัฒนาและปรับปรุงห้องปฏิบัติการ</t>
  </si>
  <si>
    <t>กล้องติดรถยนต์ หน้า - หลัง</t>
  </si>
  <si>
    <t>อุปกรณ์สำหรับประชุมออนไลน์</t>
  </si>
  <si>
    <t>เหลื่อมปี</t>
  </si>
  <si>
    <t>เบิกสะสม ต.ค.</t>
  </si>
  <si>
    <t>FPO forum</t>
  </si>
  <si>
    <t>ตปท.ชั่วคราว</t>
  </si>
  <si>
    <t>หนี้นอกระบบ</t>
  </si>
  <si>
    <t>โครงการป้องปราม</t>
  </si>
  <si>
    <t>สถาบันการเงิน ปชช.</t>
  </si>
  <si>
    <t>คุ้มครองเงินฝากฯ (กคป)</t>
  </si>
  <si>
    <t>ประชุมประจำปีสภาผู้ว่าการ</t>
  </si>
  <si>
    <t>(กพช)</t>
  </si>
  <si>
    <t>การเงินนอกระบบ (กพช)</t>
  </si>
  <si>
    <t>พ.ศ. 2562 (กพช)</t>
  </si>
  <si>
    <t>ธนาคารโลกฯ 2569 (กศร)</t>
  </si>
  <si>
    <t>ค่าใช้จ่าย การประชุม The gth Tokyo Fiscal Forum Strengthening Public Finance by Collecting and Spending Transparently and Efficiently ระหว่างวันที่ 4 - 7 มิถุนายน 67 ณ กรุงโตเกียว ประเทศญี่ปุ่น</t>
  </si>
  <si>
    <t>ค่าหนังสือเดินทาง ค่าเครื่องแต่งกาย การสัมมนา impact of Digital Money (including Central Bank Digital Currencies , CBDCs in Fiscal Operations 10-13 มิ.ย. 67 ณ กรุงโตเกียว ญี่ปุ่น</t>
  </si>
  <si>
    <t>13/6/2024</t>
  </si>
  <si>
    <t>14/6/2024</t>
  </si>
  <si>
    <t/>
  </si>
  <si>
    <t>01-900</t>
  </si>
  <si>
    <t>New GFMIS Thai</t>
  </si>
  <si>
    <t>11) ค่าภาษีและค่าธรรมเนียม (รวมค่าใช้จ่ายอื่น ๆ)</t>
  </si>
  <si>
    <t>15) ค่าเบี้ยประกันภัยรถยนต์ในต่างประเทศ</t>
  </si>
  <si>
    <t>01-260</t>
  </si>
  <si>
    <t>ฎ535/67</t>
  </si>
  <si>
    <t>ฎ646/67</t>
  </si>
  <si>
    <t>17 /6/2024</t>
  </si>
  <si>
    <t>ฎ933/67</t>
  </si>
  <si>
    <t>ฎ1033/67</t>
  </si>
  <si>
    <t>ค่าตอบแทนเหมาจ้าง</t>
  </si>
  <si>
    <t>ย้ายไปแผนพื้นฐาน</t>
  </si>
  <si>
    <t>ฎ.428/67</t>
  </si>
  <si>
    <t>ฎ536/67</t>
  </si>
  <si>
    <t>ฎ 647/67</t>
  </si>
  <si>
    <t>ฏ764/67</t>
  </si>
  <si>
    <t>21/6/2004</t>
  </si>
  <si>
    <t>ฎ414/67</t>
  </si>
  <si>
    <t>ฎ415/67</t>
  </si>
  <si>
    <t>ฎ419/67</t>
  </si>
  <si>
    <t>ฎ418/67</t>
  </si>
  <si>
    <t>ฎ430/67</t>
  </si>
  <si>
    <t>ฎ439/67</t>
  </si>
  <si>
    <t>ฎ457/67</t>
  </si>
  <si>
    <t>ฎ.472/67</t>
  </si>
  <si>
    <t>ฎ.474/67</t>
  </si>
  <si>
    <t>J7-0100000477 ล่วงล้ำ วุฒิพงศ์</t>
  </si>
  <si>
    <t>ฎ492/67</t>
  </si>
  <si>
    <t>ฎ491/67</t>
  </si>
  <si>
    <t>ฎ497/67</t>
  </si>
  <si>
    <t>ฎ498/67</t>
  </si>
  <si>
    <t>ฎ500/67</t>
  </si>
  <si>
    <t>ฎ518/67</t>
  </si>
  <si>
    <t>ฎ530/67</t>
  </si>
  <si>
    <t>ฎ527/67</t>
  </si>
  <si>
    <t>ฎ534/67</t>
  </si>
  <si>
    <t>ฎ540/67</t>
  </si>
  <si>
    <t>ฎ545/67</t>
  </si>
  <si>
    <t>ฎ551/67</t>
  </si>
  <si>
    <t>ฎ553/67</t>
  </si>
  <si>
    <t>ฎ555/67</t>
  </si>
  <si>
    <t>ฎ557/67</t>
  </si>
  <si>
    <t>ฎ560/67</t>
  </si>
  <si>
    <t>ฎ575/67</t>
  </si>
  <si>
    <t>ฎ600/67</t>
  </si>
  <si>
    <t>ฏ619/67</t>
  </si>
  <si>
    <t>ฎ620/67</t>
  </si>
  <si>
    <t>ฏ622/67</t>
  </si>
  <si>
    <t>ฏ624/67</t>
  </si>
  <si>
    <t>ฏ631/67</t>
  </si>
  <si>
    <t>ฏ641/67</t>
  </si>
  <si>
    <t>ฎ662/67</t>
  </si>
  <si>
    <t>ฎ693/67</t>
  </si>
  <si>
    <t>ฎ707/67</t>
  </si>
  <si>
    <t>ฎ714/67</t>
  </si>
  <si>
    <t>ฎ715/67</t>
  </si>
  <si>
    <t>ฏ716/67</t>
  </si>
  <si>
    <t>ฎ717/67</t>
  </si>
  <si>
    <t>ฎ719/67</t>
  </si>
  <si>
    <t>ฎ736/67</t>
  </si>
  <si>
    <t>ฎ738/67</t>
  </si>
  <si>
    <t>ฎ745/67</t>
  </si>
  <si>
    <t>ฎ746/67</t>
  </si>
  <si>
    <t>ฎ748/67</t>
  </si>
  <si>
    <t>ฎ749/67</t>
  </si>
  <si>
    <t>ฎ755/67</t>
  </si>
  <si>
    <t>ฎ756/67</t>
  </si>
  <si>
    <t>ฎ774/67</t>
  </si>
  <si>
    <t>ฎ780/67</t>
  </si>
  <si>
    <t>ฎ787/67</t>
  </si>
  <si>
    <t>ฎ816/67</t>
  </si>
  <si>
    <t>ฎ842/67</t>
  </si>
  <si>
    <t>ฎ868/67</t>
  </si>
  <si>
    <t>ฎ897/67</t>
  </si>
  <si>
    <t>ฎ901/67</t>
  </si>
  <si>
    <t>ฎ909/67</t>
  </si>
  <si>
    <t>ฎ911/67</t>
  </si>
  <si>
    <t>ฎ914/67</t>
  </si>
  <si>
    <t>ฎ922/67</t>
  </si>
  <si>
    <t>ฎ923/67</t>
  </si>
  <si>
    <t>ฎ936/67</t>
  </si>
  <si>
    <t>ฎ963/67</t>
  </si>
  <si>
    <t>ฎ964/67</t>
  </si>
  <si>
    <t>ฎ1017/67</t>
  </si>
  <si>
    <t>ฎ1018/67</t>
  </si>
  <si>
    <t>ฎ1019/67</t>
  </si>
  <si>
    <t>ฎ1020/67</t>
  </si>
  <si>
    <t>ฎ1024/67</t>
  </si>
  <si>
    <t>ฎ1029/67</t>
  </si>
  <si>
    <t>ฎ1037/67</t>
  </si>
  <si>
    <t>ฎ1061/67</t>
  </si>
  <si>
    <t>ฎ1062/67</t>
  </si>
  <si>
    <t>ฎ1063/67</t>
  </si>
  <si>
    <t>ฎ1084/67</t>
  </si>
  <si>
    <t>ฎ1087/67</t>
  </si>
  <si>
    <t>ฎ1101/67</t>
  </si>
  <si>
    <t>ฎ1109/67</t>
  </si>
  <si>
    <t>ฏ1115/67</t>
  </si>
  <si>
    <t>ฎ1148/67</t>
  </si>
  <si>
    <t>ฎ1160/67</t>
  </si>
  <si>
    <t>ฎ1161/67</t>
  </si>
  <si>
    <t>ฎ1175/67</t>
  </si>
  <si>
    <t>ฎ1210/67</t>
  </si>
  <si>
    <t>ฎ1216/67</t>
  </si>
  <si>
    <t>ฎ1243/67</t>
  </si>
  <si>
    <t>ค่ารับรองและพิธีการ 
(รับรองชาวต่างชาติ)</t>
  </si>
  <si>
    <t>ค่าโยกย้าย-ยุโรป</t>
  </si>
  <si>
    <t>ตู้สาขาโทรศัพท์</t>
  </si>
  <si>
    <t>ฎ387/67</t>
  </si>
  <si>
    <t>ฎ388/67</t>
  </si>
  <si>
    <t>ฎ389/67</t>
  </si>
  <si>
    <t>ฎ390/67</t>
  </si>
  <si>
    <t>ฎ392/67</t>
  </si>
  <si>
    <t>ฎ391/67</t>
  </si>
  <si>
    <t>ฎ393/67</t>
  </si>
  <si>
    <t>ฎ394/67</t>
  </si>
  <si>
    <t>ฎ405/67</t>
  </si>
  <si>
    <t>ฎ402/67</t>
  </si>
  <si>
    <t>ฎ403/67</t>
  </si>
  <si>
    <t>ฎ398/67</t>
  </si>
  <si>
    <t>ฎ397/67</t>
  </si>
  <si>
    <t>ฎ409/67</t>
  </si>
  <si>
    <t>ฎ412/67</t>
  </si>
  <si>
    <t>ฎ416/67</t>
  </si>
  <si>
    <t>ฎ420/67</t>
  </si>
  <si>
    <t>ฎ417/67</t>
  </si>
  <si>
    <t>ฎ423/67</t>
  </si>
  <si>
    <t>ฎ426/67</t>
  </si>
  <si>
    <t>ฎ434/67</t>
  </si>
  <si>
    <t>ฎ435/67</t>
  </si>
  <si>
    <t>ฎ431/67</t>
  </si>
  <si>
    <t>ฎ432/67</t>
  </si>
  <si>
    <t>ฎ448/67</t>
  </si>
  <si>
    <t>ฎ447/67</t>
  </si>
  <si>
    <t>ฎ445/67</t>
  </si>
  <si>
    <t>ฎ456/67</t>
  </si>
  <si>
    <t>ฎ455/67</t>
  </si>
  <si>
    <t>ฎ458/67</t>
  </si>
  <si>
    <t>ฎ461/67</t>
  </si>
  <si>
    <t>ฎ465/67</t>
  </si>
  <si>
    <t>ฎ468/67</t>
  </si>
  <si>
    <t>ฎ469/67</t>
  </si>
  <si>
    <t>ฎ475/67</t>
  </si>
  <si>
    <t>ฎ477/67</t>
  </si>
  <si>
    <t>ฎ479/67</t>
  </si>
  <si>
    <t>คืนเงินราชการ วันที่ 16 ก.พ. 67 ทั้งก้อน</t>
  </si>
  <si>
    <t xml:space="preserve">คืนเงินราชการ วันที่ 20 ก.พ. 67 </t>
  </si>
  <si>
    <t xml:space="preserve">คืนเงินราชการ วันที่ 23 ก.พ. 67 </t>
  </si>
  <si>
    <t>ฎ487/67</t>
  </si>
  <si>
    <t>คืนเงินราชการ วันที่ 1 มี.ค. 67 ฎ.417</t>
  </si>
  <si>
    <t>ฎ489/67</t>
  </si>
  <si>
    <t>ฎ493/67</t>
  </si>
  <si>
    <t>ฎ494/67</t>
  </si>
  <si>
    <t>ฎ496/67</t>
  </si>
  <si>
    <t>ฎ499/67</t>
  </si>
  <si>
    <t>ฎ501/67</t>
  </si>
  <si>
    <t>ฎ502/67</t>
  </si>
  <si>
    <t>ฎ503/67</t>
  </si>
  <si>
    <t>ฎ506/67</t>
  </si>
  <si>
    <t>ฎ508/67</t>
  </si>
  <si>
    <t>ฎ509/67</t>
  </si>
  <si>
    <t>ฎ510/67</t>
  </si>
  <si>
    <t>ฎ512/67</t>
  </si>
  <si>
    <t>ฎ516/67</t>
  </si>
  <si>
    <t>ฎ519/67</t>
  </si>
  <si>
    <t>ฎ520/67</t>
  </si>
  <si>
    <t>ฎ523/67</t>
  </si>
  <si>
    <t>ฎ531/67</t>
  </si>
  <si>
    <t>ฎ544/67</t>
  </si>
  <si>
    <t>ฎ543/67</t>
  </si>
  <si>
    <t>ฎ546/67</t>
  </si>
  <si>
    <t>คืนเงินราชการ วันที่ 20 มี.ค. 67 ฎ.487</t>
  </si>
  <si>
    <t>ฎ558/67</t>
  </si>
  <si>
    <t>ฎ552/67</t>
  </si>
  <si>
    <t>ฎ554/67</t>
  </si>
  <si>
    <t>ฎ559/67</t>
  </si>
  <si>
    <t>ฎ550/67</t>
  </si>
  <si>
    <t>ฎ561/67</t>
  </si>
  <si>
    <t>ฎ566/67</t>
  </si>
  <si>
    <t>ฎ567/67</t>
  </si>
  <si>
    <t>ฎ570/67</t>
  </si>
  <si>
    <t>ฎ576/67</t>
  </si>
  <si>
    <t>ฎ578/67</t>
  </si>
  <si>
    <t>ฎ569/67</t>
  </si>
  <si>
    <t>ฎ574/67</t>
  </si>
  <si>
    <t>ฎ581/67</t>
  </si>
  <si>
    <t>ฎ584/67</t>
  </si>
  <si>
    <t>ฎ590/67</t>
  </si>
  <si>
    <t>ฎ591/67</t>
  </si>
  <si>
    <t>ฎ607/67</t>
  </si>
  <si>
    <t>ฎ603/67</t>
  </si>
  <si>
    <t>ฎ609/67</t>
  </si>
  <si>
    <t>ฎ616/67</t>
  </si>
  <si>
    <t>ฎ618/67</t>
  </si>
  <si>
    <t>ฎ621/67</t>
  </si>
  <si>
    <t>ฎ625/67</t>
  </si>
  <si>
    <t>ฏ623/67</t>
  </si>
  <si>
    <t>ฎ626/67</t>
  </si>
  <si>
    <t>ฎ629/67</t>
  </si>
  <si>
    <t>ฎ630/67</t>
  </si>
  <si>
    <t>ฎ633/67</t>
  </si>
  <si>
    <t>ฏ634/67</t>
  </si>
  <si>
    <t>ฏ635/67</t>
  </si>
  <si>
    <t>ฎ637/67</t>
  </si>
  <si>
    <t xml:space="preserve">คืนเงินราชการ วันที่ 4 เม.ย. 67 </t>
  </si>
  <si>
    <t xml:space="preserve">คืนเงินราชการ วันที่ 5 เม.ย. 67 </t>
  </si>
  <si>
    <t>ฏ656/67</t>
  </si>
  <si>
    <t>ฏ650/67</t>
  </si>
  <si>
    <t>ฏ657/67</t>
  </si>
  <si>
    <t>ฎ664/67</t>
  </si>
  <si>
    <t>ฎ665/67</t>
  </si>
  <si>
    <t>ฎ666/67</t>
  </si>
  <si>
    <t>ฎ668/67</t>
  </si>
  <si>
    <t>ฏ663/67</t>
  </si>
  <si>
    <t>ฎ674/67</t>
  </si>
  <si>
    <t>ฎ676/67</t>
  </si>
  <si>
    <t>ฎ677/67</t>
  </si>
  <si>
    <t>ฏ678/67</t>
  </si>
  <si>
    <t>ฎ679/67</t>
  </si>
  <si>
    <t>ฏ681/67</t>
  </si>
  <si>
    <t>ฎ685/67</t>
  </si>
  <si>
    <t>คืนเงินราชการ วันที่ 19 เม.ย. 67 ทั้งก้อน</t>
  </si>
  <si>
    <t>ฎ688/67</t>
  </si>
  <si>
    <t>ฎ691/67</t>
  </si>
  <si>
    <t>ฎ694/67</t>
  </si>
  <si>
    <t>ฎ697/67</t>
  </si>
  <si>
    <t>ฏ698/67</t>
  </si>
  <si>
    <t>ฎ699/67</t>
  </si>
  <si>
    <t>ฎ703/67</t>
  </si>
  <si>
    <t>ฎ704/67</t>
  </si>
  <si>
    <t>ฎ705/67</t>
  </si>
  <si>
    <t>ฎ712/67</t>
  </si>
  <si>
    <t>ฎ718/67</t>
  </si>
  <si>
    <t>ฎ720/67</t>
  </si>
  <si>
    <t>ฎ725/67</t>
  </si>
  <si>
    <t>ฎ726/67</t>
  </si>
  <si>
    <t>ฎ735/67</t>
  </si>
  <si>
    <t>ฎ743/67</t>
  </si>
  <si>
    <t>ฎ737/67</t>
  </si>
  <si>
    <t>ฎ739/67</t>
  </si>
  <si>
    <t>ฎ744/67</t>
  </si>
  <si>
    <t>ฎ747/67</t>
  </si>
  <si>
    <t>คืนเงินราชการ วันที่ 8 พ.ค. 67</t>
  </si>
  <si>
    <t>ฎ750/67</t>
  </si>
  <si>
    <t>ฎ751/67</t>
  </si>
  <si>
    <t>ฎ759/67</t>
  </si>
  <si>
    <t>ฎ760/67</t>
  </si>
  <si>
    <t>ฎ761/67</t>
  </si>
  <si>
    <t>ฎ766/67</t>
  </si>
  <si>
    <t>คืนเงินราชการ วันที่ 15 พ.ค. 67</t>
  </si>
  <si>
    <t>ฎ775/67</t>
  </si>
  <si>
    <t>ฎ776/67</t>
  </si>
  <si>
    <t>ฎ778/67</t>
  </si>
  <si>
    <t>ฎ781/67</t>
  </si>
  <si>
    <t>ฎ788/67</t>
  </si>
  <si>
    <t>ฎ789/67</t>
  </si>
  <si>
    <t>ฎ790/67</t>
  </si>
  <si>
    <t>ฎ794/67</t>
  </si>
  <si>
    <t>ฎ795/67</t>
  </si>
  <si>
    <t>ฎ796/67</t>
  </si>
  <si>
    <t>ฎ798/67</t>
  </si>
  <si>
    <t>ฎ799/67</t>
  </si>
  <si>
    <t>ฎ800/67</t>
  </si>
  <si>
    <t>ฎ801/67</t>
  </si>
  <si>
    <t>ฎ802/67</t>
  </si>
  <si>
    <t>ฎ804/67</t>
  </si>
  <si>
    <t>ฎ808/67</t>
  </si>
  <si>
    <t>ฎ813/67</t>
  </si>
  <si>
    <t>ฎ821/67</t>
  </si>
  <si>
    <t>ฎ822/67</t>
  </si>
  <si>
    <t>ฎ824/67</t>
  </si>
  <si>
    <t>ฎ834/67</t>
  </si>
  <si>
    <t>ฎ835/67</t>
  </si>
  <si>
    <t>ฎ843/67</t>
  </si>
  <si>
    <t>ฎ844/67</t>
  </si>
  <si>
    <t>ฎ846/67</t>
  </si>
  <si>
    <t>ฎ853/67</t>
  </si>
  <si>
    <t>ฎ859/67</t>
  </si>
  <si>
    <t>ฎ860/67</t>
  </si>
  <si>
    <t>ฎ862/67</t>
  </si>
  <si>
    <t>ฎ863/67</t>
  </si>
  <si>
    <t>ฎ864/67</t>
  </si>
  <si>
    <t>ฎ869/67</t>
  </si>
  <si>
    <t>คืนเงินราชการ วันที่ 18 พ.ค. 67 ฎ.634</t>
  </si>
  <si>
    <t>ฎ873/67</t>
  </si>
  <si>
    <t>ฎ874/67</t>
  </si>
  <si>
    <t>ฎ875/67</t>
  </si>
  <si>
    <t>ฎ879/67</t>
  </si>
  <si>
    <t>ฎ883/67</t>
  </si>
  <si>
    <t>ฎ885/67</t>
  </si>
  <si>
    <t>ฎ888/67</t>
  </si>
  <si>
    <t>ฎ890/67</t>
  </si>
  <si>
    <t>ฎ903/67</t>
  </si>
  <si>
    <t>ฎ906/67</t>
  </si>
  <si>
    <t>ฎ907/67</t>
  </si>
  <si>
    <t>ฎ908/67</t>
  </si>
  <si>
    <t>ฎ910/67</t>
  </si>
  <si>
    <t>ฎ916/67</t>
  </si>
  <si>
    <t>ฎ917/67</t>
  </si>
  <si>
    <t>ฎ919/67</t>
  </si>
  <si>
    <t>ฎ920/67</t>
  </si>
  <si>
    <t>ฎ928/67</t>
  </si>
  <si>
    <t>ฎ929/67</t>
  </si>
  <si>
    <t>ฎ937/67</t>
  </si>
  <si>
    <t>ฎ943/67</t>
  </si>
  <si>
    <t>ฎ945/67</t>
  </si>
  <si>
    <t>ฎ951/67</t>
  </si>
  <si>
    <t>ฎ952/67</t>
  </si>
  <si>
    <t>ฎ953/67</t>
  </si>
  <si>
    <t>ฎ954/67</t>
  </si>
  <si>
    <t>ฎ955/67</t>
  </si>
  <si>
    <t>ฎ956/67</t>
  </si>
  <si>
    <t>ฎ957/67</t>
  </si>
  <si>
    <t>ฎ959/67</t>
  </si>
  <si>
    <t>ฎ965/67</t>
  </si>
  <si>
    <t>ฎ967/67</t>
  </si>
  <si>
    <t>ฎ969/67</t>
  </si>
  <si>
    <t>ฎ976/67</t>
  </si>
  <si>
    <t>ฎ978/67</t>
  </si>
  <si>
    <t>25/6</t>
  </si>
  <si>
    <t>ฎ981/67</t>
  </si>
  <si>
    <t>ฎ982/67</t>
  </si>
  <si>
    <t>25/6/2024</t>
  </si>
  <si>
    <t>ฎ986/67</t>
  </si>
  <si>
    <t>ฎ990/67</t>
  </si>
  <si>
    <t>คืนเงินราชการ วันที่ 7 มิ.ย. 67 ฎ.798</t>
  </si>
  <si>
    <t>ฎ992/67</t>
  </si>
  <si>
    <t>ฎ994/67</t>
  </si>
  <si>
    <t>ฎ995/67</t>
  </si>
  <si>
    <t>ฎ997/67</t>
  </si>
  <si>
    <t>ฎ1007/67</t>
  </si>
  <si>
    <t>ฎ1009/67</t>
  </si>
  <si>
    <t>ฎ1013/67</t>
  </si>
  <si>
    <t>ฎ1015/67</t>
  </si>
  <si>
    <t>ฎ1016/67</t>
  </si>
  <si>
    <t>ฎ1025/67</t>
  </si>
  <si>
    <t>ฎ1032/67</t>
  </si>
  <si>
    <t>ฎ1038/67</t>
  </si>
  <si>
    <t>ฎ1040/37</t>
  </si>
  <si>
    <t>ฎ1041/67</t>
  </si>
  <si>
    <t>ฏ1058/67</t>
  </si>
  <si>
    <t>ฎ1059/67</t>
  </si>
  <si>
    <t>ฎ1060/67</t>
  </si>
  <si>
    <t>ฎ1064/67</t>
  </si>
  <si>
    <t>ฎ1050/67</t>
  </si>
  <si>
    <t>ฏ1073/67</t>
  </si>
  <si>
    <t>ฎ1078/67</t>
  </si>
  <si>
    <t>ฎ1080/67</t>
  </si>
  <si>
    <t>ฎ1081/67</t>
  </si>
  <si>
    <t>ฏ1082/67</t>
  </si>
  <si>
    <t>ฎ1083/67</t>
  </si>
  <si>
    <t>ฎ1085/67</t>
  </si>
  <si>
    <t>ฎ1089/67</t>
  </si>
  <si>
    <t>ฎ1090/67</t>
  </si>
  <si>
    <t>ฎ1091/67</t>
  </si>
  <si>
    <t>ฎ1093/67</t>
  </si>
  <si>
    <t>ฎ1097/67</t>
  </si>
  <si>
    <t>ฎ1099/67</t>
  </si>
  <si>
    <t>ฎ1102/67</t>
  </si>
  <si>
    <t>ฎ1111/67</t>
  </si>
  <si>
    <t>ฎ1112/67</t>
  </si>
  <si>
    <t>ฎ1114/67</t>
  </si>
  <si>
    <t>ฎ1116/67</t>
  </si>
  <si>
    <t>ฎ1117/67</t>
  </si>
  <si>
    <t>ฎ1118/67</t>
  </si>
  <si>
    <t>ฎ1120/67</t>
  </si>
  <si>
    <t>ฎ1125/67</t>
  </si>
  <si>
    <t>ฎ1126/67</t>
  </si>
  <si>
    <t>ฎ1129/67</t>
  </si>
  <si>
    <t>ฎ1130/67</t>
  </si>
  <si>
    <t>ฎ1131/67</t>
  </si>
  <si>
    <t>ฎ1132/67</t>
  </si>
  <si>
    <t>ฎ1134/67</t>
  </si>
  <si>
    <t>ฎ1137/67</t>
  </si>
  <si>
    <t>ฎ1141/67</t>
  </si>
  <si>
    <t>ฎ1142/67</t>
  </si>
  <si>
    <t>ฎ1143/67</t>
  </si>
  <si>
    <t>ฎ1144/67</t>
  </si>
  <si>
    <t>ฎ1146/67</t>
  </si>
  <si>
    <t>ฎ1147/67</t>
  </si>
  <si>
    <t>ฎ1149/67</t>
  </si>
  <si>
    <t>ฎ1151/67</t>
  </si>
  <si>
    <t>ฎ1155/67</t>
  </si>
  <si>
    <t>ฎ1158/67</t>
  </si>
  <si>
    <t>ฎ1159/67</t>
  </si>
  <si>
    <t>ฏ1164/67</t>
  </si>
  <si>
    <t>ฎ1167/67</t>
  </si>
  <si>
    <t>ฎ1168/67</t>
  </si>
  <si>
    <t>ฎ1171/67</t>
  </si>
  <si>
    <t>ฎ1173/67</t>
  </si>
  <si>
    <t>ฎ1176/67</t>
  </si>
  <si>
    <t>ฎ1177/67</t>
  </si>
  <si>
    <t>ฎ1184/67</t>
  </si>
  <si>
    <t>คืนเงินราชการ บก.527/67 ฎ.1097/67</t>
  </si>
  <si>
    <t>ฎ1193/67</t>
  </si>
  <si>
    <t>ฎ1192/67</t>
  </si>
  <si>
    <t>ฎ1201/67</t>
  </si>
  <si>
    <t>ฎ1203/67</t>
  </si>
  <si>
    <t>ฎ1204/67</t>
  </si>
  <si>
    <t>ฎ1223/67</t>
  </si>
  <si>
    <t>ฎ1225/67</t>
  </si>
  <si>
    <t>ฎ1229/67</t>
  </si>
  <si>
    <t>ฎ1230/67</t>
  </si>
  <si>
    <t>ฎ1231/67</t>
  </si>
  <si>
    <t>ฎ1237/67</t>
  </si>
  <si>
    <t>ฎ1246/67</t>
  </si>
  <si>
    <t>ฎ1247/67</t>
  </si>
  <si>
    <t>ฎ1248/67</t>
  </si>
  <si>
    <t>ฎ1249/67</t>
  </si>
  <si>
    <t>ฎ1251/67</t>
  </si>
  <si>
    <t>ฎ1252/67</t>
  </si>
  <si>
    <t>ฎ1253/67</t>
  </si>
  <si>
    <t>ฎ1256/67</t>
  </si>
  <si>
    <t xml:space="preserve">01-450 </t>
  </si>
  <si>
    <t>ฎีกาที่</t>
  </si>
  <si>
    <t>17/06/2024</t>
  </si>
  <si>
    <t>18/6/2024</t>
  </si>
  <si>
    <t>ฎ.185/67</t>
  </si>
  <si>
    <t>ฎ.186/67</t>
  </si>
  <si>
    <t>ฎ.187/67</t>
  </si>
  <si>
    <t>ฎ.195/67</t>
  </si>
  <si>
    <t>ฎ.196/67</t>
  </si>
  <si>
    <t>ฎ.214/67</t>
  </si>
  <si>
    <t>ฎ.215/67</t>
  </si>
  <si>
    <t>ฎ.220/67</t>
  </si>
  <si>
    <t>ฎ.221/67</t>
  </si>
  <si>
    <t>ฎ.223/67</t>
  </si>
  <si>
    <t>ฎ.243/67</t>
  </si>
  <si>
    <t>ฎ.384/67</t>
  </si>
  <si>
    <t>ฎ.401/67</t>
  </si>
  <si>
    <t>ฎ.406/67</t>
  </si>
  <si>
    <t>ฎ.422/67</t>
  </si>
  <si>
    <t>ฎ.421/67</t>
  </si>
  <si>
    <t>ฎ.433/67</t>
  </si>
  <si>
    <t>ฎ436/67</t>
  </si>
  <si>
    <t>ฎ449/67</t>
  </si>
  <si>
    <t>ฎ450/67</t>
  </si>
  <si>
    <t>ฎ446/67</t>
  </si>
  <si>
    <t>ฎ454/67</t>
  </si>
  <si>
    <t>ฎ459/67</t>
  </si>
  <si>
    <t>ฎ464/67</t>
  </si>
  <si>
    <t>ฎ490/67</t>
  </si>
  <si>
    <t>ฎ507/67</t>
  </si>
  <si>
    <t>ฎ511/67</t>
  </si>
  <si>
    <t>ฎ514/67</t>
  </si>
  <si>
    <t>ฎ515/67</t>
  </si>
  <si>
    <t>ฎ521/67</t>
  </si>
  <si>
    <t>ฎ526/67</t>
  </si>
  <si>
    <t>ฎ524/67</t>
  </si>
  <si>
    <t>ฎ525/67</t>
  </si>
  <si>
    <t>ฎ583/67</t>
  </si>
  <si>
    <t>ฎ652/67</t>
  </si>
  <si>
    <t>ฎ654/67</t>
  </si>
  <si>
    <t>ฏ655/67</t>
  </si>
  <si>
    <t>ฏ658/67</t>
  </si>
  <si>
    <t>ฎ672/67</t>
  </si>
  <si>
    <t>ฎ673/67</t>
  </si>
  <si>
    <t>ฎ675/67</t>
  </si>
  <si>
    <t>ฎ695/67</t>
  </si>
  <si>
    <t>ฎ696/67</t>
  </si>
  <si>
    <t>ฏ706/67</t>
  </si>
  <si>
    <t>ฎ708/67</t>
  </si>
  <si>
    <t>ฎ757/67</t>
  </si>
  <si>
    <t>ฎ758/67</t>
  </si>
  <si>
    <t>ฎ773/67</t>
  </si>
  <si>
    <t>ฎ777/67</t>
  </si>
  <si>
    <t>ฎ783/67</t>
  </si>
  <si>
    <t>ฎ803/67</t>
  </si>
  <si>
    <t>ฎ805/67</t>
  </si>
  <si>
    <t>ฎ806/67</t>
  </si>
  <si>
    <t>ฎ810/67</t>
  </si>
  <si>
    <t>ฎ811/67</t>
  </si>
  <si>
    <t>ฎ812/67</t>
  </si>
  <si>
    <t>ฎ820/67</t>
  </si>
  <si>
    <t>ฎ838/67</t>
  </si>
  <si>
    <t>ฎ839/67</t>
  </si>
  <si>
    <t>ฎ840/67</t>
  </si>
  <si>
    <t>ฎ841/67</t>
  </si>
  <si>
    <t>ฎ857/67</t>
  </si>
  <si>
    <t>ฎ870/67</t>
  </si>
  <si>
    <t>ฎ872/67</t>
  </si>
  <si>
    <t>ฎ876/67</t>
  </si>
  <si>
    <t>ฎ886/67</t>
  </si>
  <si>
    <t>ฎ887/67</t>
  </si>
  <si>
    <t>ฎ889/67</t>
  </si>
  <si>
    <t>ฎ915/67</t>
  </si>
  <si>
    <t>ฎ927/67</t>
  </si>
  <si>
    <t>14/06/2004</t>
  </si>
  <si>
    <t>ฎ930/67</t>
  </si>
  <si>
    <t>ฎ939/67</t>
  </si>
  <si>
    <t>ฎ944/67</t>
  </si>
  <si>
    <t>ฎ947/67</t>
  </si>
  <si>
    <t>ฎ972/67</t>
  </si>
  <si>
    <t>ฎ973/67</t>
  </si>
  <si>
    <t>ฎ989/67</t>
  </si>
  <si>
    <t>ฎ993/67</t>
  </si>
  <si>
    <t>ฎ1039/67</t>
  </si>
  <si>
    <t>ฎ1042/67</t>
  </si>
  <si>
    <t>ฎ1045/67</t>
  </si>
  <si>
    <t>ฎ1047/67</t>
  </si>
  <si>
    <t>ฎ1053/67</t>
  </si>
  <si>
    <t>ฎ1075/67</t>
  </si>
  <si>
    <t>ฎ1076/67</t>
  </si>
  <si>
    <t>ฎ1077/67</t>
  </si>
  <si>
    <t>ฎ1105/67</t>
  </si>
  <si>
    <t>ฎ1133/67</t>
  </si>
  <si>
    <t>ฎ1156/67</t>
  </si>
  <si>
    <t>ฎ1157/67</t>
  </si>
  <si>
    <t>ฎ1150/67</t>
  </si>
  <si>
    <t>ฎ1165/67</t>
  </si>
  <si>
    <t>ฎ1172/67</t>
  </si>
  <si>
    <t>ฎ1182/67</t>
  </si>
  <si>
    <t>ฎ1208/67</t>
  </si>
  <si>
    <t>ฎ1224/67</t>
  </si>
  <si>
    <t>ฎ1232/67</t>
  </si>
  <si>
    <t>ฎ1235/67</t>
  </si>
  <si>
    <t>ฎ1244/67</t>
  </si>
  <si>
    <t>ฎ1254/67</t>
  </si>
  <si>
    <t>ครุภัณฑ์สำนักงาน</t>
  </si>
  <si>
    <t>ครุภัณฑ์ยานพาหนะและขนส่ง</t>
  </si>
  <si>
    <t>ครุภัณฑ์วิทยาศาสตร์การแพทย์</t>
  </si>
  <si>
    <t>ครุภัณฑ์ไฟฟ้า</t>
  </si>
  <si>
    <t>ครุภัณฑ์โฆษณาและเผยแพร่</t>
  </si>
  <si>
    <t>สิ่งปลูกสร้าง และปรับปรุงอาคาร</t>
  </si>
  <si>
    <t>ฎ865/67</t>
  </si>
  <si>
    <t>ฎ861/67</t>
  </si>
  <si>
    <t>ฏ1123/67</t>
  </si>
  <si>
    <t>ฎ1174/67</t>
  </si>
  <si>
    <t>ฎ1185/67</t>
  </si>
  <si>
    <t>ฎ1186/67</t>
  </si>
  <si>
    <t>ฎ1199/67</t>
  </si>
  <si>
    <t>เลขที่เอกสาร</t>
  </si>
  <si>
    <t>ต่างประเทศชั่วคราว</t>
  </si>
  <si>
    <t>รายละเอียดเพิ่มเติม</t>
  </si>
  <si>
    <t>ต่างประเทศชั่วคราว (0000004)</t>
  </si>
  <si>
    <t>เจรจาและการประชุมระหว่างประเทศ (0000012)</t>
  </si>
  <si>
    <t>เจรจาและการประชุมระหว่างประเทศ (0000027)</t>
  </si>
  <si>
    <t>เจรจาและการประชุมระหว่างประเทศ (0000063)</t>
  </si>
  <si>
    <t>เงินได้รับจัดสรรจากสำนักงบประมาณ - (งบกลาง)</t>
  </si>
  <si>
    <t>*หมายเหตุเงินยืมราชการ 116100 บาท หักค่าใช้จ่าย 102350 คงเหลือคืนคลัง 13750</t>
  </si>
  <si>
    <t>ฎ.166/3200000010</t>
  </si>
  <si>
    <t>สงป.อนุมัติจัดสรร</t>
  </si>
  <si>
    <t>ฎ.178/3600000120</t>
  </si>
  <si>
    <t>ฎ.348/3200000017</t>
  </si>
  <si>
    <t>ฎ.349/3100000599</t>
  </si>
  <si>
    <t>ฎ.349/3100000599 - คชจ.เดินทางไปเข้าร่วมการประชุมเจ้าหน้าที่อาวุโสกระทรวงการคลังและธนาคารกลางอาเซียน+3 (AFCDM+3)  วันที่ 6-7 ธ.ค. 66 ณ เมืองคานาซาวะ ประเทศญี่ปุ่น 
(ค่าตั๋วเครื่องบิน 100,880 บาท)
จ่ายตรงผู้ขายไม่มี PO - การบินไทย</t>
  </si>
  <si>
    <t>ฎ.234/3200000014</t>
  </si>
  <si>
    <t>ฎ.410/67</t>
  </si>
  <si>
    <t>ฎ410/2567 สญ.ที่ 14/2567 นายธนากร ไพรวรรณ์
ค่าเบี้ยเลี้ยง</t>
  </si>
  <si>
    <t>ฎ.441/67</t>
  </si>
  <si>
    <t>027/3</t>
  </si>
  <si>
    <t>ฎ.463/67</t>
  </si>
  <si>
    <t>ฎ.466/67</t>
  </si>
  <si>
    <t>ฎ.480/67</t>
  </si>
  <si>
    <t>16/02/2567
29/2/2567
19/8/2567</t>
  </si>
  <si>
    <t>ฎ.441/3600000342
ฎ.484/3100000761(ตั๋ว)
ฎ1191/3200000062 (ค่าที่พัก ค่ารับรอง พาหนะฯ)</t>
  </si>
  <si>
    <t>14/3/2567
18/4/2567
18/4/2567
18/4/2567</t>
  </si>
  <si>
    <t>ฎ437/3600000416
ฎ682/3100000972
ฎ682/3200000030
ฎ684/3600000544</t>
  </si>
  <si>
    <t>ฎ572/3100000861</t>
  </si>
  <si>
    <t>ฎ573/3200000023</t>
  </si>
  <si>
    <t>ฎ588/3100000866</t>
  </si>
  <si>
    <t>ฎ589/3200000025</t>
  </si>
  <si>
    <t>ฎ604/3100000898</t>
  </si>
  <si>
    <t>ฎ605/3200000027</t>
  </si>
  <si>
    <t>ฎ606/3600000456</t>
  </si>
  <si>
    <t>ฎ601/3100000897</t>
  </si>
  <si>
    <t>ฎ602/3200000026</t>
  </si>
  <si>
    <t>ฎ612/3100000899</t>
  </si>
  <si>
    <t>ฎ636/67</t>
  </si>
  <si>
    <t>ฎ638/67</t>
  </si>
  <si>
    <t>ค่าใช้จ่ายในการประชุมเตรียมการการเป็นเจ้าภาพจัดการประชุมประจำปีสภาผู้ว่าการธนาคารโลกและกองทุนการเงินระหว่างประเทศ ปี 2569 ระหว่างวันที่ 15-21 เมษายน 2567 ณ กรุงวอชิงตัน สหรัฐอเมริกา</t>
  </si>
  <si>
    <t>ฎ639/67</t>
  </si>
  <si>
    <t xml:space="preserve">4/4/67
</t>
  </si>
  <si>
    <t>10/4/67</t>
  </si>
  <si>
    <t>ฏ648/67</t>
  </si>
  <si>
    <t>ฎ649/67</t>
  </si>
  <si>
    <t>ฎ682 ฎ683 ฎ684</t>
  </si>
  <si>
    <t>22/4/67
22/4/67</t>
  </si>
  <si>
    <t>ฎ689/67
ฎ690/67</t>
  </si>
  <si>
    <t>ฎ833/67</t>
  </si>
  <si>
    <t>ค่าใช้จ่ายในการเดินทางประชุมสภาผู้ว่าการธนาคารโลกและกองทุนการเงินระหว่างประเทศ (Spring Meetings) และการประชุมอื่นๆ ที่เกี่ยวข้อง ระหว่างวันที่ 19-21 เม.ย. 67 ณ กรุงวอชิงตัน สหรัฐอเมริกา</t>
  </si>
  <si>
    <t>ฎ848/67</t>
  </si>
  <si>
    <t>ฎ785</t>
  </si>
  <si>
    <t>ฎ898/67</t>
  </si>
  <si>
    <t>ฎ926/67</t>
  </si>
  <si>
    <t>ฎ935/67</t>
  </si>
  <si>
    <t>ฏ958/67</t>
  </si>
  <si>
    <t>ฎ960/67</t>
  </si>
  <si>
    <t>ฎ968/67</t>
  </si>
  <si>
    <t>ฎ979/67</t>
  </si>
  <si>
    <t>ฎ980/67</t>
  </si>
  <si>
    <t>คืนเงินราชการ วันที่ 12 มิ.ย. 67 ฎ.785/67</t>
  </si>
  <si>
    <t>ฎ1002/67</t>
  </si>
  <si>
    <t>ฎ1008/67</t>
  </si>
  <si>
    <t>ฎ1011/67</t>
  </si>
  <si>
    <t>ฎ1012/67</t>
  </si>
  <si>
    <t>คืนเงินราชการ วันที่ 7 ก.ค. 67 ฎ.926/67</t>
  </si>
  <si>
    <t>คืนเงินราชการ วันที่ 7 ก.ค. 67 ฎ.935/67</t>
  </si>
  <si>
    <t>ฎ1026/67</t>
  </si>
  <si>
    <t>คืนเงินราชการ วันที่ 11 ก.ค. 67 ฎ.960/67</t>
  </si>
  <si>
    <t>คืนเงินราชการ วันที่ 11 ก.ค. 67 ฎ.979/67</t>
  </si>
  <si>
    <t>ฎ1056/67</t>
  </si>
  <si>
    <t>ฎ1094/67</t>
  </si>
  <si>
    <t>ฎ1100/67</t>
  </si>
  <si>
    <t>ฏ1113/67</t>
  </si>
  <si>
    <t>ฎ1121/67</t>
  </si>
  <si>
    <t>ฎ1127/67</t>
  </si>
  <si>
    <t>คืนเงินราชการ วันที่ 2 ส.ค. 67 ฎ.1002/67</t>
  </si>
  <si>
    <t>ฎ1138/67</t>
  </si>
  <si>
    <t>คืนเงินราชการ วันที่ 6 ส.ค. 67 ฎ.1056/67</t>
  </si>
  <si>
    <t>ฎ1181/67</t>
  </si>
  <si>
    <t>ฎ1183/67</t>
  </si>
  <si>
    <t>ฎ1202/67</t>
  </si>
  <si>
    <t>คืนเงินราชการ วันที่ 20 ส.ค. 67 ฎ.1121/67</t>
  </si>
  <si>
    <t>ฎ1207/67</t>
  </si>
  <si>
    <t>ฎ1211/67</t>
  </si>
  <si>
    <t>ฎ1214/67</t>
  </si>
  <si>
    <t>ฎ1218/67</t>
  </si>
  <si>
    <t>ฎ1226/67</t>
  </si>
  <si>
    <t>คืนเงินราชการ วันที่ 26 ส.ค. 67 ฎ.1138/67</t>
  </si>
  <si>
    <t>ฎ1242/67</t>
  </si>
  <si>
    <t>งานสถาปนา สศค. ปีที่ 62</t>
  </si>
  <si>
    <t>กันเงิน</t>
  </si>
  <si>
    <t>ส.1/67 (เงินยืม)</t>
  </si>
  <si>
    <t>จัดซื้อจัดจ้าง</t>
  </si>
  <si>
    <t>ฎีกา/เลขที่เอกสาร</t>
  </si>
  <si>
    <t>ฎ.24/3600000010</t>
  </si>
  <si>
    <t>ฎ.54/3100000148</t>
  </si>
  <si>
    <t>ค่าจ้างจัดเวทียกพื้นพร้อมค่ารถขนส่ง</t>
  </si>
  <si>
    <t>ฎ.55/3100000149</t>
  </si>
  <si>
    <t>ค่าจ้างจัดชุดเครื่องสักการะสิ่งศักดิ์สิทธิ์</t>
  </si>
  <si>
    <t>ฎ.69/3100000162</t>
  </si>
  <si>
    <t>ค่าจ้างจัดทำของที่ระลึก</t>
  </si>
  <si>
    <t>ฎ.77/3100000168</t>
  </si>
  <si>
    <t>ค่าจ้างจัดดอกไม้ตกแต่งสถานที่</t>
  </si>
  <si>
    <t>ฎ.100/3100000207</t>
  </si>
  <si>
    <t>ค่าจ้างจัด Package ชุดเครื่องใช้และอุปกรณ์ประกอบพิธีสงฆ์</t>
  </si>
  <si>
    <t>รวมทั้งสิ้น</t>
  </si>
  <si>
    <t>ค่าใช้จ่ายในการเข้าร่วมการประชุมรมต.คลัง เอเปค ครั้งที่ 30 และการประชุมอื่น ๆ ที่เกี่ยวข้อง ณ นครซานฟรานซิสโก รัฐแคลิฟอร์เนีย สหรัฐอเมริกา</t>
  </si>
  <si>
    <t>งบกลาง - 900</t>
  </si>
  <si>
    <t>งบดำเนินงาน - 400</t>
  </si>
  <si>
    <t>ฎ.114/3600000053</t>
  </si>
  <si>
    <t>คชจ.เดินทางไปเข้าร่วมการประชุม รมต.คลังเอเปค ครั้งที่ 30 และการประชุมอื่น ๆ (ระหว่างวันที่ 10-13 พ.ย. 66) 
ณ นครซานฟรานซิสโก รัฐแคลิฟอร์เนีย สหรัฐอเมริกา (ค่าเบี้ยเลี้ยง ค่าบัตรโทรศัพท์ ค่าเครื่องแต่งกาย ของที่ระลึก ค่าตั๋ว 
ค่านส.เดินทางราชการ และค่าพาหนะในต่างประเทศ ทั้งคณะ)
เงินยืมราชการสัญญาเลขที่ 3/2567
ผู้ยืม : นางสาวอินทุอร หวังประเสริฐ</t>
  </si>
  <si>
    <t>คชจ.เดินทางไปเข้าร่วมการประชุมเจ้าหน้าที่อาวุโสกระทรวงการคลังและธนาคารกลางอาเซียน+3 (AFCDM+3)  วันที่ 6-7 ธ.ค. 66 ณ เมืองคานาซาวะ ประเทศญี่ปุ่น</t>
  </si>
  <si>
    <t>กันเงินงบประมาณ</t>
  </si>
  <si>
    <t>หมวด 900</t>
  </si>
  <si>
    <t>หมวด 400</t>
  </si>
  <si>
    <t>(ค่าเบี้ยเลี้ยง 21,900 บาท)
เงินยืมราชการ สัญญา 5/2567 ผู้ยืม : นายโดม วิเชียรศิลป์</t>
  </si>
  <si>
    <t>(ค่าที่พัก 48,425.63 บาท)
(คชจ.เดินทางไปราชการต่างประเทศ 29,883.77 บาท)
บัตรกรุงไทย</t>
  </si>
  <si>
    <t>(ค่าตั๋วเครื่องบิน 100,880 บาท)
จ่ายตรงผู้ขายไม่มี PO - การบินไทย</t>
  </si>
  <si>
    <t>28/08/2024</t>
  </si>
  <si>
    <t>ฎ1255/67</t>
  </si>
  <si>
    <t>23/8/2567</t>
  </si>
  <si>
    <r>
      <t xml:space="preserve">ฎ.178/3600000120 - คชจ.เดินทางไปเข้าร่วมการประชุมเจ้าหน้าที่อาวุโสกระทรวงการคลังและธนาคารกลางอาเซียน+3 (AFCDM+3)  วันที่ 6-7 ธ.ค. 66 ณ เมืองคานาซาวะ ประเทศญี่ปุ่น 
</t>
    </r>
    <r>
      <rPr>
        <b/>
        <sz val="14"/>
        <color rgb="FFC00000"/>
        <rFont val="TH SarabunPSK"/>
        <family val="2"/>
      </rPr>
      <t>(ค่าเบี้ยเลี้ยง 21,900 บาท)</t>
    </r>
    <r>
      <rPr>
        <b/>
        <sz val="14"/>
        <color rgb="FF1F497D"/>
        <rFont val="TH SarabunPSK"/>
        <family val="2"/>
      </rPr>
      <t xml:space="preserve">
เงินยืมราชการ สัญญา 5/2567 ผู้ยืม : นายโดม วิเชียรศิลป์</t>
    </r>
  </si>
  <si>
    <r>
      <t xml:space="preserve">ฎ.348/3200000017 - คชจ.เดินทางไปเข้าร่วมการประชุมเจ้าหน้าที่อาวุโสกระทรวงการคลังและธนาคารกลางอาเซียน+3 (AFCDM+3)  วันที่ 6-7 ธ.ค. 66 ณ เมืองคานาซาวะ ประเทศญี่ปุ่น 
</t>
    </r>
    <r>
      <rPr>
        <b/>
        <sz val="14"/>
        <color rgb="FFC00000"/>
        <rFont val="TH SarabunPSK"/>
        <family val="2"/>
      </rPr>
      <t>(ค่าที่พัก 48,425.63 บาท)</t>
    </r>
    <r>
      <rPr>
        <b/>
        <sz val="14"/>
        <color rgb="FF1F497D"/>
        <rFont val="TH SarabunPSK"/>
        <family val="2"/>
      </rPr>
      <t xml:space="preserve">
</t>
    </r>
    <r>
      <rPr>
        <b/>
        <sz val="14"/>
        <color rgb="FFC00000"/>
        <rFont val="TH SarabunPSK"/>
        <family val="2"/>
      </rPr>
      <t>(คชจ.เดินทางไปราชการต่างประเทศ 29,883.77 บาท)</t>
    </r>
    <r>
      <rPr>
        <b/>
        <sz val="14"/>
        <color rgb="FF1F497D"/>
        <rFont val="TH SarabunPSK"/>
        <family val="2"/>
      </rPr>
      <t xml:space="preserve">
บัตรกรุงไทย</t>
    </r>
  </si>
  <si>
    <r>
      <rPr>
        <sz val="14"/>
        <color rgb="FFC5E0B3"/>
        <rFont val="TH SarabunPSK"/>
        <family val="2"/>
      </rPr>
      <t>ฏ640/67</t>
    </r>
    <r>
      <rPr>
        <sz val="14"/>
        <color theme="1"/>
        <rFont val="TH SarabunPSK"/>
        <family val="2"/>
      </rPr>
      <t xml:space="preserve">
</t>
    </r>
  </si>
  <si>
    <r>
      <t xml:space="preserve">คชจ.เดินทางไปเข้าร่วมการประชุม รมต.คลังเอเปค ครั้งที่ 30 และการประชุมอื่น ๆ (ระหว่างวันที่ 10-13 พ.ย. 66) 
ณ นครซานฟรานซิสโก รัฐแคลิฟอร์เนีย สหรัฐอเมริกา
(ค่าตั๋วโดยสารเครื่องบิน) 
</t>
    </r>
    <r>
      <rPr>
        <u/>
        <sz val="14"/>
        <color theme="1"/>
        <rFont val="TH SarabunPSK"/>
        <family val="2"/>
      </rPr>
      <t>รมต.ช่วยคลัง</t>
    </r>
    <r>
      <rPr>
        <sz val="14"/>
        <color theme="1"/>
        <rFont val="TH SarabunPSK"/>
        <family val="2"/>
      </rPr>
      <t xml:space="preserve"> กฤษฎา จีนะวิจารณะ : 392,785 บาท
</t>
    </r>
    <r>
      <rPr>
        <u/>
        <sz val="14"/>
        <color theme="1"/>
        <rFont val="TH SarabunPSK"/>
        <family val="2"/>
      </rPr>
      <t>ผอ.สศค</t>
    </r>
    <r>
      <rPr>
        <sz val="14"/>
        <color theme="1"/>
        <rFont val="TH SarabunPSK"/>
        <family val="2"/>
      </rPr>
      <t xml:space="preserve">. พรชัย ฐีระเวช : 392,785 บาท
</t>
    </r>
    <r>
      <rPr>
        <u/>
        <sz val="14"/>
        <color theme="1"/>
        <rFont val="TH SarabunPSK"/>
        <family val="2"/>
      </rPr>
      <t>ผอ.ส่วนความร่วมมือภูมิภาคและพหุภาคี กศร.</t>
    </r>
    <r>
      <rPr>
        <sz val="14"/>
        <color theme="1"/>
        <rFont val="TH SarabunPSK"/>
        <family val="2"/>
      </rPr>
      <t xml:space="preserve"> นายมเหศวร เครือวัลย์ : 91,750 บาท
</t>
    </r>
    <r>
      <rPr>
        <u/>
        <sz val="14"/>
        <color theme="1"/>
        <rFont val="TH SarabunPSK"/>
        <family val="2"/>
      </rPr>
      <t>เศรษฐกรชำนาญการ กศร</t>
    </r>
    <r>
      <rPr>
        <sz val="14"/>
        <color theme="1"/>
        <rFont val="TH SarabunPSK"/>
        <family val="2"/>
      </rPr>
      <t xml:space="preserve">. นายจุฑาทิพย์ ภุมรินทร์ : 104,500 บาท
</t>
    </r>
    <r>
      <rPr>
        <u/>
        <sz val="14"/>
        <color theme="1"/>
        <rFont val="TH SarabunPSK"/>
        <family val="2"/>
      </rPr>
      <t>เศรษฐกรชำนาญการ กศร</t>
    </r>
    <r>
      <rPr>
        <sz val="14"/>
        <color theme="1"/>
        <rFont val="TH SarabunPSK"/>
        <family val="2"/>
      </rPr>
      <t>. นางสาวอินทุอร หวังประเสริฐ : 91,750 บาท</t>
    </r>
  </si>
  <si>
    <r>
      <t xml:space="preserve">คชจ.ในการไปเข้าร่วมการประชุม รมต.คลังเอเปค ครั้งที่ 30 และการประชุมอื่น ๆ (ระหว่างวันที่ 10-13 พ.ย. 66) 
ณ นครซานฟรานซิสโก รัฐแคลิฟอร์เนีย สหรัฐอเมริกา
(ค่าที่พัก ค่าพาหนะในต่างประเทศ)
</t>
    </r>
    <r>
      <rPr>
        <b/>
        <u/>
        <sz val="14"/>
        <color theme="1"/>
        <rFont val="TH SarabunPSK"/>
        <family val="2"/>
      </rPr>
      <t>ค่าที่พัก : 509,298.32 บาท</t>
    </r>
    <r>
      <rPr>
        <sz val="14"/>
        <color theme="1"/>
        <rFont val="TH SarabunPSK"/>
        <family val="2"/>
      </rPr>
      <t xml:space="preserve">
</t>
    </r>
    <r>
      <rPr>
        <b/>
        <u/>
        <sz val="14"/>
        <color theme="1"/>
        <rFont val="TH SarabunPSK"/>
        <family val="2"/>
      </rPr>
      <t>คชจ.เดินทางไปราชการในต่างประเทศ : 368,159.56 บาท</t>
    </r>
  </si>
  <si>
    <t>ฎ1046/67</t>
  </si>
  <si>
    <t>ฎ1258/67</t>
  </si>
  <si>
    <t>ฎ1259/67</t>
  </si>
  <si>
    <t>ฎ1260/67</t>
  </si>
  <si>
    <t>ฎ1261/67</t>
  </si>
  <si>
    <t>ฎ1262/67</t>
  </si>
  <si>
    <t>ฎ1263/67</t>
  </si>
  <si>
    <t>ฎ1268/67</t>
  </si>
  <si>
    <t>ฎ1266/67</t>
  </si>
  <si>
    <t>ฎ1267/67</t>
  </si>
  <si>
    <t>ฎ1269/67</t>
  </si>
  <si>
    <t>ฎ1270/67</t>
  </si>
  <si>
    <t>ฎ1271/67</t>
  </si>
  <si>
    <t>ฎ1272/67</t>
  </si>
  <si>
    <t>ฎ1273/67</t>
  </si>
  <si>
    <t>ฎ1274/67</t>
  </si>
  <si>
    <t>ฎ1275/67</t>
  </si>
  <si>
    <t>ฎ1276/67</t>
  </si>
  <si>
    <t>ฎ1277/67</t>
  </si>
  <si>
    <t>ฎ1279/67</t>
  </si>
  <si>
    <t>ฎ1280/67</t>
  </si>
  <si>
    <t>ฎ1281/67</t>
  </si>
  <si>
    <t>ฎ1282/67</t>
  </si>
  <si>
    <t>ฎ1284/67</t>
  </si>
  <si>
    <t>ฎ1285/67</t>
  </si>
  <si>
    <t>ฎ1287/67</t>
  </si>
  <si>
    <t>ฎ1288/67</t>
  </si>
  <si>
    <t>ฎ1289/67</t>
  </si>
  <si>
    <t>ฎ1290/67</t>
  </si>
  <si>
    <t>ฎ1293/67</t>
  </si>
  <si>
    <t>ฎ1294/67</t>
  </si>
  <si>
    <t>ฎ1303/67</t>
  </si>
  <si>
    <t>ฎ1304/67</t>
  </si>
  <si>
    <t>ฎ1305/67</t>
  </si>
  <si>
    <t>ฎ1306/67</t>
  </si>
  <si>
    <t>ฎ1307/67</t>
  </si>
  <si>
    <t>ฎ1308/67</t>
  </si>
  <si>
    <t>ฎ1309/67</t>
  </si>
  <si>
    <t>ฎ1310/67</t>
  </si>
  <si>
    <t>ฎ1312/67</t>
  </si>
  <si>
    <t>ฎ1313/67</t>
  </si>
  <si>
    <t>ฎ1315/67</t>
  </si>
  <si>
    <t>ฎ1316/67</t>
  </si>
  <si>
    <t>ฎ1318/67</t>
  </si>
  <si>
    <t>ฎ1323/67</t>
  </si>
  <si>
    <t>ฎ1324/67</t>
  </si>
  <si>
    <t>13/9/2024</t>
  </si>
  <si>
    <t>ฎ1325/67</t>
  </si>
  <si>
    <t>ฎ1326/67</t>
  </si>
  <si>
    <t>ฎ1327/67</t>
  </si>
  <si>
    <t>ฎ1331/67</t>
  </si>
  <si>
    <t>18/9/2024</t>
  </si>
  <si>
    <t>ฎ1336/67</t>
  </si>
  <si>
    <t>ฎ1337/67</t>
  </si>
  <si>
    <t>ฎ1338/67</t>
  </si>
  <si>
    <t>ฎ1339/67</t>
  </si>
  <si>
    <t>ฎ1340/67</t>
  </si>
  <si>
    <t>ฎ1341/67</t>
  </si>
  <si>
    <t>ฎ1342/67</t>
  </si>
  <si>
    <t>ฎ1345/67</t>
  </si>
  <si>
    <t>ฎ1346/67</t>
  </si>
  <si>
    <t>ฎ1347/67</t>
  </si>
  <si>
    <t>ฎ1349/67</t>
  </si>
  <si>
    <t>19/9/2024</t>
  </si>
  <si>
    <t>ฎ1351/67</t>
  </si>
  <si>
    <t>ฎ1354/67</t>
  </si>
  <si>
    <t>20/9/2024</t>
  </si>
  <si>
    <t>ฎ1355/67</t>
  </si>
  <si>
    <t>ฎ1356/67</t>
  </si>
  <si>
    <t>ฎ1357/67</t>
  </si>
  <si>
    <t>ฎ1359/67</t>
  </si>
  <si>
    <t>ฎ1360/67</t>
  </si>
  <si>
    <t>ฎ1361/67</t>
  </si>
  <si>
    <t>ฎ1365/67</t>
  </si>
  <si>
    <t>23/9/2024</t>
  </si>
  <si>
    <t>ฎ1366/67</t>
  </si>
  <si>
    <t>ฎ1367/67</t>
  </si>
  <si>
    <t>ฎ1368/67</t>
  </si>
  <si>
    <t>ฎ1369/67</t>
  </si>
  <si>
    <t>ฎ1370/67</t>
  </si>
  <si>
    <t>ฎ1371/67</t>
  </si>
  <si>
    <t>ฎ1372/67</t>
  </si>
  <si>
    <t>ฎ1373/67</t>
  </si>
  <si>
    <t>ฎ1374/67</t>
  </si>
  <si>
    <t>ฎ1376/67</t>
  </si>
  <si>
    <t>ฎ1377/67</t>
  </si>
  <si>
    <t>ฎ1378/67</t>
  </si>
  <si>
    <t>ฎ1379/67</t>
  </si>
  <si>
    <t>ฎ1382/67</t>
  </si>
  <si>
    <t>24/9/2024</t>
  </si>
  <si>
    <t>ฎ1383/67</t>
  </si>
  <si>
    <t>ฎ1384/67</t>
  </si>
  <si>
    <t>ฎ1385/67</t>
  </si>
  <si>
    <t>ฎ1388/67</t>
  </si>
  <si>
    <t>ฏ1389/67</t>
  </si>
  <si>
    <t>ฎ1390/67</t>
  </si>
  <si>
    <t>ฎ1391/67</t>
  </si>
  <si>
    <t>25/9/2024</t>
  </si>
  <si>
    <t>ฎ1393/67</t>
  </si>
  <si>
    <t>ฎ1386/67</t>
  </si>
  <si>
    <t>26/9/2024</t>
  </si>
  <si>
    <t>ฎ1398/67</t>
  </si>
  <si>
    <t>ฎ1399/67</t>
  </si>
  <si>
    <t>ฎ1400/67</t>
  </si>
  <si>
    <t>ฎ1401/67</t>
  </si>
  <si>
    <t>ฎ1402/67</t>
  </si>
  <si>
    <t>ฎ1403/67</t>
  </si>
  <si>
    <t>ฎ1404/67</t>
  </si>
  <si>
    <t>ฎ1408/67</t>
  </si>
  <si>
    <t>ฎ1409/67</t>
  </si>
  <si>
    <t>27/9/2024</t>
  </si>
  <si>
    <t>ฎ1410/67</t>
  </si>
  <si>
    <t>ฎ1411/67</t>
  </si>
  <si>
    <t>ฎ1412/67</t>
  </si>
  <si>
    <t>ฎ1413/67</t>
  </si>
  <si>
    <t>ฎ1414/67</t>
  </si>
  <si>
    <t>ฎ1419/67</t>
  </si>
  <si>
    <t>ฎ1420/67</t>
  </si>
  <si>
    <t>ฎ1421/67</t>
  </si>
  <si>
    <t>ฎ1422/67</t>
  </si>
  <si>
    <t>ฎ1423/67</t>
  </si>
  <si>
    <t>ฎ1424/67</t>
  </si>
  <si>
    <t>ฎ1425/67</t>
  </si>
  <si>
    <t>ฎ1426/67</t>
  </si>
  <si>
    <t>ฎ1427/67</t>
  </si>
  <si>
    <t>ฎ1428/67</t>
  </si>
  <si>
    <t>ฎ1429/67</t>
  </si>
  <si>
    <t>ฎ1430/67</t>
  </si>
  <si>
    <t>ฎ1431/67</t>
  </si>
  <si>
    <t>ฎ1432/67</t>
  </si>
  <si>
    <t>ฎ1433/67</t>
  </si>
  <si>
    <t>ฎ1434/67</t>
  </si>
  <si>
    <t>ฎ1435/67</t>
  </si>
  <si>
    <t>ฎ1436/67</t>
  </si>
  <si>
    <t>ฎ1437/67</t>
  </si>
  <si>
    <t>ฎ1438/67</t>
  </si>
  <si>
    <t>ฎ1439/67</t>
  </si>
  <si>
    <t>30/9/2024</t>
  </si>
  <si>
    <t>ฎ1440/67</t>
  </si>
  <si>
    <t>ฎ1441/67</t>
  </si>
  <si>
    <t>ฎ1442/67</t>
  </si>
  <si>
    <t>ฎ1443/67</t>
  </si>
  <si>
    <t>ฎ1444/67</t>
  </si>
  <si>
    <t>ฎ1445/67</t>
  </si>
  <si>
    <t>ฎ1446/67</t>
  </si>
  <si>
    <t>ฎ1448/67</t>
  </si>
  <si>
    <t>ฎ1449/67</t>
  </si>
  <si>
    <t>ฎ1450/67</t>
  </si>
  <si>
    <t>ฎ1455/67</t>
  </si>
  <si>
    <t>ฎ1456/67</t>
  </si>
  <si>
    <t>ฎ1457/67</t>
  </si>
  <si>
    <t>ฎ1458/67</t>
  </si>
  <si>
    <t>ฎ1463/67</t>
  </si>
  <si>
    <t>ฎ1464/67</t>
  </si>
  <si>
    <t>ฎ1466/67</t>
  </si>
  <si>
    <t>ฎ1467/67</t>
  </si>
  <si>
    <t>ฎ1468/67</t>
  </si>
  <si>
    <t>ฎ1470/67</t>
  </si>
  <si>
    <t>ฎ1471/67</t>
  </si>
  <si>
    <t>ฎ1472/67</t>
  </si>
  <si>
    <t>ฎ1473/67</t>
  </si>
  <si>
    <t>ฎ1474/67</t>
  </si>
  <si>
    <t>ฎ1475/67</t>
  </si>
  <si>
    <t>ฎ1479/67</t>
  </si>
  <si>
    <t>ฎ1480/67</t>
  </si>
  <si>
    <t>ฎ1485/67</t>
  </si>
  <si>
    <t>ฎ1481/67</t>
  </si>
  <si>
    <t>ฎ1418/67</t>
  </si>
  <si>
    <t>ฎ1417/67</t>
  </si>
  <si>
    <t>ฎ1407/67</t>
  </si>
  <si>
    <t>ฎ1335/67</t>
  </si>
  <si>
    <t>วันที่ : 30 กันยายน 2567</t>
  </si>
  <si>
    <t>คืนเงินราชการ วันที่ 18 ก.ย. 67 ฎ.1242/67</t>
  </si>
  <si>
    <t>ไม่รู้</t>
  </si>
  <si>
    <t>2.1.1.7 สิ่งปลูกสร้าง และปรับปรุงอาคาร</t>
  </si>
  <si>
    <t>2.1.1.6 ครุภัณฑ์โฆษณาและเผยแพร่</t>
  </si>
  <si>
    <t>คืนเงินราชการ ฎ.1193/67</t>
  </si>
  <si>
    <t>คืนเงินราชการ ฎ.1146/67</t>
  </si>
  <si>
    <t>คืนเงินราชการ ฎ.1120/67</t>
  </si>
  <si>
    <t>คืนเงินราชการ ฎ.1293/67</t>
  </si>
  <si>
    <t>***</t>
  </si>
  <si>
    <t>สรุปรายละเอียดการเบิกจ่ายเงินงบประมาณรายจ่ายประจำปีงบประมาณ พ.ศ. 2568</t>
  </si>
  <si>
    <t>หน่วยงาน</t>
  </si>
  <si>
    <t>เงิน พ.พ.ด.</t>
  </si>
  <si>
    <t>เงินค่าตอบแทน
รายเดือน
สำหรับข้าราชการ</t>
  </si>
  <si>
    <t>เงินค่าตอบแทน
เท่ากับ
เงินประจำตำแหน่ง</t>
  </si>
  <si>
    <t>เงินค่าตอบแทนรายเดือน</t>
  </si>
  <si>
    <t>เงินงวดจัดสรร ครั้งที่ 1 (1 ต.ค. 67)</t>
  </si>
  <si>
    <t>ค่าตอบแทน
พนักงานราชการ</t>
  </si>
  <si>
    <t>เงินตอบแทนพิเศษ
เงินเดือนถึงขั้นสูงของอันดับ</t>
  </si>
  <si>
    <t>เงินสมทบกองทุนประกันสังคม</t>
  </si>
  <si>
    <t>เงินกองทุน
เงินทดแทน</t>
  </si>
  <si>
    <t>ลูกจ้าง ตปท. ลาออก</t>
  </si>
  <si>
    <t>01-300 ค่าตอบแทน</t>
  </si>
  <si>
    <t>02-100 เงินเดือนและค่าจ้างประจำ</t>
  </si>
  <si>
    <t>02-260 ค่าตอบแทนพนักงานราชการ</t>
  </si>
  <si>
    <t>02-300 ค่าตอบแทน 02-400 ค่าใช้สอย (ค่าใช้จ่ายบุคลากรภาครัฐ)</t>
  </si>
  <si>
    <t>02-300</t>
  </si>
  <si>
    <t>02-400</t>
  </si>
  <si>
    <t>ค่าตอบแทน
การปฏิบัติงาน
นอกเวลาราชการ</t>
  </si>
  <si>
    <t>01-400 ค่าใช้สอย</t>
  </si>
  <si>
    <t>งวด 1</t>
  </si>
  <si>
    <t>งวด 2</t>
  </si>
  <si>
    <t>งวด 3</t>
  </si>
  <si>
    <t>งวด 4</t>
  </si>
  <si>
    <t>งวด 5</t>
  </si>
  <si>
    <t>งวด 6</t>
  </si>
  <si>
    <t>งวด 7</t>
  </si>
  <si>
    <t>งวด 8</t>
  </si>
  <si>
    <t>งวด 9</t>
  </si>
  <si>
    <t>งวด 10</t>
  </si>
  <si>
    <t>งวด 11</t>
  </si>
  <si>
    <t>งวด 12</t>
  </si>
  <si>
    <t>คชจ.ฝึกอบรม 
นอกแผน 
(อาหารว่าง)</t>
  </si>
  <si>
    <t>คชจ.ฝึกอบรม 
นอกแผน 
(วิทยากร)</t>
  </si>
  <si>
    <t>คชจ.ฝึกอบรม 
นอกแผน 
(ค่าเดินทาง)</t>
  </si>
  <si>
    <t>ค่ารับรองและพิธีการ 
(งานพิธีการ)</t>
  </si>
  <si>
    <t>ค่าภาษีและค่าธรรมเนียม
(คชจ.อื่น ๆ)</t>
  </si>
  <si>
    <t>คอมฯแม่ข่าย
(MA)</t>
  </si>
  <si>
    <t>ค่าเช่า
รถนั่งส่วนกลาง</t>
  </si>
  <si>
    <t>ค่าเช่า
รถโดยสาร</t>
  </si>
  <si>
    <t>รายจ่ายลงทุน</t>
  </si>
  <si>
    <t>บำรุงซ่อมแซมเครื่องปรับอากาศ</t>
  </si>
  <si>
    <t>บำรุงซ่อมแซม
ลิฟท์</t>
  </si>
  <si>
    <t>รักษาความสะอาด</t>
  </si>
  <si>
    <t>รักษาปลอดภัย</t>
  </si>
  <si>
    <t>ดูแลสวน</t>
  </si>
  <si>
    <t>ฉีดสเปรย์/ปรับอากาศ</t>
  </si>
  <si>
    <t>ตู้สาขาโทรศัพท์อัตโนมัติ</t>
  </si>
  <si>
    <t>เก็บเอกสาร</t>
  </si>
  <si>
    <t>วัสดุสนง.
อื่นๆ</t>
  </si>
  <si>
    <t>วัสดุน้ำมัน เชื้อเพลิง</t>
  </si>
  <si>
    <t>วัสดุยานพาหนะ</t>
  </si>
  <si>
    <t>วัสดุหนังสือ</t>
  </si>
  <si>
    <t>01-500 ค่าวัสดุ</t>
  </si>
  <si>
    <t>01-450 ค่าสาธารณูปโภค</t>
  </si>
  <si>
    <t>ค่าบริการสื่อสารโทรคมนาคม</t>
  </si>
  <si>
    <t>Reuter/ Refinitive
/ Bloomberg</t>
  </si>
  <si>
    <t>01-600 ค่าครุภัณฑ์</t>
  </si>
  <si>
    <t>ปรับปรุงระบบตู้สาขาโทรศัพท์</t>
  </si>
  <si>
    <t>ปรับปรุงระบบกล้องวงจรปิด</t>
  </si>
  <si>
    <t>จัดหาทดแทนระบบคลาวด์</t>
  </si>
  <si>
    <t>ปรับปรุงเว็บไซต์</t>
  </si>
  <si>
    <t>17) ค่าจ้างเหมาบริการ (เช่ารถเสริม)</t>
  </si>
  <si>
    <t>18) ค่าจ้างเหมาบริการ</t>
  </si>
  <si>
    <t>19) ค่าบำรุงรักษาระบบคอมพิวเตอร์และระบบเครือข่าย</t>
  </si>
  <si>
    <t>20) ค่าเช่าทรัพย์สิน</t>
  </si>
  <si>
    <t>(21) ค่าเช่ารถนั่งส่วนกลาง รถยนต์ไฟฟ้า ประเภทแบตเตอรี่ (BEV) (ขนาดความจุของแบตเตอรี่ตั้งแต่ 30 กิโลวัตต์ชั่วโมง (kWh) ขึ้นไป และกำลังมอเตอร์ไฟฟ้าสูงสุดไม่เกิน 150 กิโลวัตต์) 4 คัน</t>
  </si>
  <si>
    <t>(22) ค่าเช่ารถโดยสาร 12 ที่นั่ง 5 คัน</t>
  </si>
  <si>
    <t xml:space="preserve"> รายละเอียดงบประมาณรายจ่ายประจำปีงบประมาณ พ.ศ. 2568  ตามระบบ (รวมใบกัน)</t>
  </si>
  <si>
    <t>ณ 31 ต.ค. 67</t>
  </si>
  <si>
    <t>(1) โครงการปรับปรุงระบบกล้องวงจรปิดเพื่อทดแทนของเดิม</t>
  </si>
  <si>
    <t>(2) โครงการปรับปรุงระบบตู้สาขาโทรศัพท์เพื่อทดแทนของเดิม</t>
  </si>
  <si>
    <t>(1) โครงการจัดหาทดแทนระบบคลาวด์เดิมของสำนักงานเศรษฐกิจการคลัง</t>
  </si>
  <si>
    <t>(2) โครงการปรับปรุงประสิทธิภาพการบริหารจัดการเว็บไซต์ของสำนักงานเศรษฐกิจการคลัง</t>
  </si>
  <si>
    <t>(3) โครงการจัดหาทดแทนระบบห้องสมุดอัตโนมัติสำนักงานเศรษฐกิจการคลัง</t>
  </si>
  <si>
    <t>(1) ค่าจ้างออกแบบโครงการปรับปรุงอาคารสำนักงานเศรษฐกิจ
การคลัง</t>
  </si>
  <si>
    <t>1) เงินบาทสมทบกองทุน ASEAN+3 Finance Cooperation</t>
  </si>
  <si>
    <t>2) การบริจาคเงินสำหรับการเพิ่มทุนกองทุนพัฒนาเอเชีย ครั้งที่ 11 (ADF : XII) งวดที่ 9/10</t>
  </si>
  <si>
    <t>เงินบาทสมทบกองทุน ASEAN+3 Finance Cooperation</t>
  </si>
  <si>
    <t>ครุภัณฑ์สิ่งปลูกสร้าง และปรับปรุงอาคาร</t>
  </si>
  <si>
    <t>ค่าจ้างออกแบบโครงการปรับปรุงอาคารสำนักงานเศรษฐกิจ
การคลัง</t>
  </si>
  <si>
    <t>ฎ.56/3600000058</t>
  </si>
  <si>
    <t>ค่าเบี้ยประชุมคณะอนุกรรมการพิจารณากลั่นกรองการวินิจฉัยภาษีที่ดินและสิ่งปลูกสร้าง 
ครั้งที่ 2/2567 ในวันพุธที่ 2 ตุลาคม 2567"</t>
  </si>
  <si>
    <t>บก.1/68</t>
  </si>
  <si>
    <t>กนภ.3542</t>
  </si>
  <si>
    <t>ค่าพาหนะเดินทางในประเทศ ในการประชุมสภาการคลังอาเซียน (ASEAN Treasury Forum: ATF) ครั้งที่ 1 ระหว่างวันที่ 3-4 ต.ค.67 
ณ เกาะบาหลี อินโดนีเซีย (นส.นลพรรณ มณีโชติ)"</t>
  </si>
  <si>
    <t>บก.2/68</t>
  </si>
  <si>
    <t>กศร.3616</t>
  </si>
  <si>
    <t>ฎ.62/3600000064</t>
  </si>
  <si>
    <t>ค่าพาหนะเดินทางในประเทศ ในการประชุุมเตรียมการการเป็นเจ้าภาพจัดการประชุมประจำปีสภาผู้ว่าการธนาคารโลกและ
กองทุนการเงินระหว่างประเทศ ปี 2569 ระหว่างวันที่ 21-26 ต.ค.67 ณ กรุงวอชิงตัน ดี.ซี. สหรัฐอเมริกา (นางสาวอัญวีณ์)</t>
  </si>
  <si>
    <t>กศร.3610</t>
  </si>
  <si>
    <t>บก.3/68</t>
  </si>
  <si>
    <t>11/10/2567
16/10/2567</t>
  </si>
  <si>
    <t>ค่าพาหนะเดินทางในประเทศ ในการประชุมคณะทำงานเปิดเสรีการค้าบริการด้านการเงิน ครั้งที่ 79 และการประชุมคณะทำงานย่อย สาขาบริการด้านการเงิน ภายใต้ความตกลงการค้าเสรีอาเซียน-แคนาดา ครั้งที่ 10 ระหว่างวันที่ 7-12 ต.ค.67 ณ เกาะโบโฮล สาธารณรัฐฟิลิปปินส์</t>
  </si>
  <si>
    <t>กศร.3666</t>
  </si>
  <si>
    <t>บก.4/68</t>
  </si>
  <si>
    <t>ฎ.60/3600000062</t>
  </si>
  <si>
    <t>ค่าพาหนะ การประชุมรัฐมนตรีว่าการกระทรวงการคลังเอเปค ครั้งที่ 31 ระหว่างวันที่ 18-21 ต.ค.67 
ณ กรุงลิมา สาธารณรัฐเปรู และการประชุมประจำปีสภาผู้ว่าการธนาคารโลกและกองทุนการเงินระหว่างประเทศปี 2567 
และการประชุมอื่นที่เกี่ยวข้อง ระหว่างวันที่ 21-26 ต.ค.67 ณ กรุงวอชิงตัน ดี.ซี สหรัฐอเมริกา</t>
  </si>
  <si>
    <t>ค่าอาหารว่างและเครื่องดื่ม ในการสอบแข่งขันเพื่อวัดความเหมาะสมกับตำแหน่งนักวิชาการพัสดุปฏิบัติการ วันที่ 2 ต.ค.67</t>
  </si>
  <si>
    <t>กศร.3622</t>
  </si>
  <si>
    <t>สบท.3136 (คุณวรรณชนก)</t>
  </si>
  <si>
    <t>บก.5/68</t>
  </si>
  <si>
    <t>บก.6/68</t>
  </si>
  <si>
    <t>ฎ.9/3600000022</t>
  </si>
  <si>
    <t>ยืมเงินค่าผ่านทางพิเศษ ระหว่างวันที่ 1 - 31 ตุลาคม 2567 (นายทศพล เตชะธนะวัฒน์)</t>
  </si>
  <si>
    <t>สพท.3154</t>
  </si>
  <si>
    <t>สบพ.3140</t>
  </si>
  <si>
    <t>บก.7/68</t>
  </si>
  <si>
    <t>ฎ.10/3600000023</t>
  </si>
  <si>
    <t xml:space="preserve">ค่าตอบแทนการปฏิบัติงานนอกเวลาราชการ ระหว่างวันที่ 1 - 31 ตุลาคม 2567 </t>
  </si>
  <si>
    <t>สบค.3174</t>
  </si>
  <si>
    <t xml:space="preserve">ค่าตอบแทนการปฏิบัติงานนอกเวลาราชการ และในวันหยุดราชการ ประจำเดือน ตุลาคม 2567 </t>
  </si>
  <si>
    <t>สบพ.3147</t>
  </si>
  <si>
    <t>บก.10/68</t>
  </si>
  <si>
    <t>ค่าใช้จ่ายในการจัดกิจกรรมงานเสวนา Local Reach เอื้อมลึกถึงภูมิภาค ประจำเดือน ต.ค.67 (15 ต.ค.67) 
(ค่าตอนแทนวิทยากร และค่าอาหารว่างและเครื่องดื่ม)</t>
  </si>
  <si>
    <t>กศม.3273</t>
  </si>
  <si>
    <t>บก.11/68</t>
  </si>
  <si>
    <t>ค่าจ้างบริการป้องกันและกำจัดปลวก มอด หมัด มด หนูและแมลงสาบ ประจำปีงบประมาณ 2568 (ตั้งแต่วันที่ 1 ต.ค.67 - 30 ก.ย.68) จำนวน 4 งวด</t>
  </si>
  <si>
    <t>สบพ.3141</t>
  </si>
  <si>
    <t>บก.12/68</t>
  </si>
  <si>
    <t>บก.13/68</t>
  </si>
  <si>
    <t>ฎ.22/3600000030</t>
  </si>
  <si>
    <t>ค่าจัดซื้อวัสดุอุปกรณ์ จำนวน 9 รายการ ในงานประชาสัมพันธ์การเป็นเจ้าภาพการจัดประชุมประจำปีสภาผู้ว่าการธนาคารโลกและกองทุนเงินระหว่างประเทศ ปี 2569 ของประเทศไทย รหว่างวันที่ 21-26 ต.ค.67 ณ กรุงวอชิงตัน ดี.ซี. สหรัฐอเมริกา</t>
  </si>
  <si>
    <t>บก.14/68</t>
  </si>
  <si>
    <t>สบพ.3148</t>
  </si>
  <si>
    <t>ฎ.1/3600000001</t>
  </si>
  <si>
    <t>กกง.3241</t>
  </si>
  <si>
    <t>คณะทำงานจัดงาน 3117</t>
  </si>
  <si>
    <t>บก.15/68</t>
  </si>
  <si>
    <t>บก.17/68</t>
  </si>
  <si>
    <t>ค่าอาหารว่างและเครื่องดื่ม การประชุมหารือร่วมกับธนาคารแห่งประเทศไทย (ธปท.) เรื่อง เป้าหมายนโยบายการเงินสำหรับระยะปานกลางและปี 2568 
(10 ต.ค. 67)</t>
  </si>
  <si>
    <t>ค่าพาหนะเดินทางในประเทศ ในการเข้าร่วมประชุมคณะทำงานด้านการค้าสินค้า รอบที่ 8 ภายใต้การเจรจาจัดทำความตกลงการค้าเสรีอาเซียน-แคนาดา (ACAFTA) ระหว่างวันที่ 27 ต.ค. - 1 พ.ย.67 ณ กรุงจาการ์ตา สาธารณรัฐอินโดนีเซีย (นางสาวศิริตลา)</t>
  </si>
  <si>
    <t>ค่าซ่อมเครื่องพิมพ์เลเซอร์สี จำนวน 1 เครื่อง สศค. 60411-0540</t>
  </si>
  <si>
    <t>กกง.3290</t>
  </si>
  <si>
    <t>กนค.3543</t>
  </si>
  <si>
    <t>กศร.3667</t>
  </si>
  <si>
    <t>บก.18/68</t>
  </si>
  <si>
    <t>บก.19/68</t>
  </si>
  <si>
    <t>บก.20/68</t>
  </si>
  <si>
    <t>บก.21/68</t>
  </si>
  <si>
    <t>บก.22/68</t>
  </si>
  <si>
    <t>ฎ.53/3600000055</t>
  </si>
  <si>
    <t>ค่าจัดซื้อน้ำมันเชื้อเพลิงเพื่อใช้สำหรับรถราชการ จำนวน 16 คัน (ระหว่างวันที่ 1 ต.ค.67 - 31 ธ.ค. 67 ระยะเวลา 3 เดือน โดยใช้บัตรเติมน้ำมันรถราชการ (Fleet Card)</t>
  </si>
  <si>
    <t>บก.23/68</t>
  </si>
  <si>
    <t>สบพ.3145</t>
  </si>
  <si>
    <t>ค่าเช่าเครื่องถ่ายเอกสารระบบมัลติฟังก์ชั่น (ขาวดำ) จำนวน 6 เครื่อง 
ระยะเวลา 12 เดือน (1 ต.ค.67 - 30 ก.ย.68)</t>
  </si>
  <si>
    <t>ค่าจ้างบำรุงรักษาและซ่อมแซมแก้ไขอุปกรณ์ระบบตู้สาขาโทรศัพท์อัตโนมัติ 
เป็นระยะเวลา 12 เดือน (1 ต.ค.67 - 30 ก.ย.68)</t>
  </si>
  <si>
    <t>ค่าจ้างบริการรักษาความปลอดภัยของสำนักงานเศรษฐกิจการคลัง 
เป็นระยะเวลา 12 เดือน (1 ต.ค.67 - 30 ก.ย.68) 
ชำระค่าจ้างเป็นรายเดือน หลังจากตรวจรับแล้ว ทั้งหมด 12 งวด งวดละ 1 เดือน</t>
  </si>
  <si>
    <t>สบพ.3152</t>
  </si>
  <si>
    <t>ค่าจ้างบริการจัดเก็บรักษาเอกสารของสำนักงานเศรษฐกิจการคลัง
เป็นระยะเวลา 12 เดือน (1 ต.ค.67 - 30 ก.ย.68)
ชำระค่าจ้างเป็นรายเดือน หลังจากตรวจรับแล้ว ทั้งหมด 12 งวด งวดละ 1 เดือน</t>
  </si>
  <si>
    <t>ค่าจ้างบริการบำรุงรักษาและซ่อมแซมแก้ไขลิฟต์โดยสาร ยี่ห้อ มิตซูบิชิ
เป็นระยะเวลา 12 เดือน (1 ต.ค.67 - 30 ก.ย.68)</t>
  </si>
  <si>
    <t>ค่าจ้างบริการเติมน้ำยาเครื่องฉีดสเปรย์น้ำหอมอัตโนมัติและเครื่องฆ่าเชื้อกำจัดกลิ่น
เป็นระยะเวลา 12 เดือน (1 ต.ค.67 - 30 ก.ย.68)</t>
  </si>
  <si>
    <t>บก.24/68</t>
  </si>
  <si>
    <t>บก.25/68</t>
  </si>
  <si>
    <t>บก.26/68</t>
  </si>
  <si>
    <t>บก.27/68</t>
  </si>
  <si>
    <t>บก.28/68</t>
  </si>
  <si>
    <t>บก.29/68</t>
  </si>
  <si>
    <t>ฝ่ายบริหารทั่วไป. 3125</t>
  </si>
  <si>
    <t>ค่าปฏิบัติงานนอกเวลาราชการ เดือนตุลาคม ระหว่างวันที่ 1 - 31 ตุลาคม 2567</t>
  </si>
  <si>
    <t>บก.30/68</t>
  </si>
  <si>
    <t>กกง.3242</t>
  </si>
  <si>
    <t>(ค่าเครื่องแต่งกาย และค่าหนังสือเดินทางราชการ) ค่าใช้จ่ายในการศึกษาดูงานเกี่ยวกับระบบการค้ำประกันสินเชื่อและบทบาทในการช่วยเหลือสนับสนุนผู้ประกอบ SMEsของสถาบันค้ำประกันสินเชื่อในต่างประเทศ ระหว่างวันที่ 6-9 พ.ย.67 ณ สาธารณรัฐเกาหลี</t>
  </si>
  <si>
    <t>กนภ.3502</t>
  </si>
  <si>
    <t>(ค่าเครื่องแต่งกาย) ค่าใช้จ่ายในการเดินทางเข้าร่วมโครงการศึกษาดูงานด้านอุตสาหกรรมยานยนต์ต่างประเทศ ปี 2567 ระหว่างวันที่ 11-15 พ.ย.67 ณ สาธารณรัฐเกาหลี</t>
  </si>
  <si>
    <t>บก.31/68</t>
  </si>
  <si>
    <t>บก.33/68</t>
  </si>
  <si>
    <t>ค่าอาหารว่างและเครื่องดื่ม ในการประชุมหารือร่วมกับหน่วยงาน การยกร่างประกาศกระทรวงการคลังฯ เรื่องหลักเกณฑ์และวิธีการในการจัดเก็บภาษีที่ดินและสิ่งปลูกสร้างที่มีการใช้ประโยชน์หลายประเภท ในวันพุธที่ 6 พ.ย.67</t>
  </si>
  <si>
    <t>บก.32/68</t>
  </si>
  <si>
    <t>ค่าใช้จ่ายในการศึกษาดูงานเกี่ยวกับระบบการค้ำประกันสินเชื่อและบทบาทในการช่วยเหลือสนับสนุนผู้ประกอบ SMEsของสถาบันค้ำประกันสินเชื่อในต่างประเทศ ระหว่างวันที่ 6-9 พ.ย.67 ณ สาธารณรัฐเกาหลี</t>
  </si>
  <si>
    <t>(ค่าพาหนะเดินทางในประเทศ) ค่าใช้จ่ายในการเดินทางเข้าร่วมโครงการศึกษาดูงานด้านอุตสาหกรรมยานยนต์ต่างประเทศ ปี 2567 ระหว่างวันที่ 11-15 พ.ย.67 ณ สาธารณรัฐเกาหลี</t>
  </si>
  <si>
    <t>สบพ.3146</t>
  </si>
  <si>
    <t>ค่าสมาชิกรายเดือนการใช้บริการสัญญาณเคเบิ้ล ทีวี ระบบจานดาวเทียม DSTV ประจำเดือนตุลาคม (3 ก.ย.-2 ต.ค.67)</t>
  </si>
  <si>
    <t>สบค.3168</t>
  </si>
  <si>
    <t>ค่าไฟฟ้าของ สศค. ประจำเดือน กันยายน 2567</t>
  </si>
  <si>
    <t>บก.34/68</t>
  </si>
  <si>
    <t>บก.35/68</t>
  </si>
  <si>
    <t>ฎ.37/3100000128</t>
  </si>
  <si>
    <t>ฎ.51/3100000145</t>
  </si>
  <si>
    <t>ฎ.66/3600000066</t>
  </si>
  <si>
    <t>ค่าล้างอัดฉีด เปลี่ยนถ่ายน้ำมันเครื่องและวัสดุสิ้นเปลืองรถยนต์ ยี่ห้อนิสสัน หมายเลขทะเบียน ฮอ 7211</t>
  </si>
  <si>
    <t>ค่าซ่อมแซมเครื่องปรับอากาศ ยี่ห้อ SAIJO DENKI หมายเลขครุภัณฑ์ สศค./63 51413-0032 (กอล.)</t>
  </si>
  <si>
    <t>ค่าจ้างซ่อมรถตู้ส่วนกลาง ยี่ห้อ โตโยต้า หมายเลขทะเบียน ฮค 5592</t>
  </si>
  <si>
    <t>กพช.021697130 ต่อ 128</t>
  </si>
  <si>
    <t>ค่าอาหารว่างและเครื่องดื่ม ในการประชุุมหารือแก้ไขพระราชกำหนดการกู้ยืมเงินที่เป็นการฉ้อโกงประชาชน พ.ศ.2567 และที่แก้ไขเพิ่มเติม ในวันพฤหัสบดีที่ 31 ต.ค.67 ณ ห้องประชุม 301 ชั้น 3 สศค.</t>
  </si>
  <si>
    <t>บก.37/68</t>
  </si>
  <si>
    <t>บก.39/68</t>
  </si>
  <si>
    <t>บก.40/68</t>
  </si>
  <si>
    <t>กพช.021697130 ต่อ 143</t>
  </si>
  <si>
    <t>ค่าใช้จ่ายในการลงพื้นที่ตรวจการดำเนินกิจการประกอบธุรกิจสินเชื่อรายย่อยระดับจังหวัดภายใต้การกำกับ (สินเชื่อไฟแนนซ์)
ณ สถานประกอบการของผู้ประกอบธุรกิจสินเชื่อพิโกไฟแนนซ์ ระหว่างวันที่ 11-12 พ.ย.67</t>
  </si>
  <si>
    <t>ยืมเงิน ค่าจ้างทำป้ายชื่อ ผู้เชี่ยวชาญด้านพัฒนาระบบการเงินภาคประชาชน (นางสาวอุษาลักษณ์ เจษฎาถาวรวงศ์) และผู้เชี่ยวชาญด้านนโยบายการเงินการคลังระหว่างประเทศ (นายมเหศวร เครือวัลย์) สำหรับใช้ในราชการ จำนวน 2 ป้าย (นางสาวภัคภิญญา ยุระยาตร์ ผู้ยืม)</t>
  </si>
  <si>
    <t>บก.38/68</t>
  </si>
  <si>
    <t>บก.43/68</t>
  </si>
  <si>
    <t>กนค.3559</t>
  </si>
  <si>
    <t>(ค่าอาหารว่างและเครื่องดื่ม) ในการจัดประชุมคณะทำงานติดตามผลการจัดเก็บรายได้ของรัฐบาล ครั้งที่ 1/2568 (20 พ.ย.67)</t>
  </si>
  <si>
    <t>ยืมเงินค่าผ่านทางพิเศษ ระหว่างวันที่ 1 - 30 พฤศจิกายน 2567 (นายวิทยา บุญญวินิจ)</t>
  </si>
  <si>
    <t>กศร. 3610,3613</t>
  </si>
  <si>
    <t>ค่าพาหนะเดินทางในประเทศ ในการประชุมคณะทำงานภายใต้กรอบการประชุมรัฐมนตรีว่าการกระทรวงการคลังและผู้ว่าการธนาคารกลางอาเซียน+3 ครั้งที่ 4 ระหว่างวันที่ 7-8 พ.ย.67 ณ เวียงจันทร์ สปป. ลาว</t>
  </si>
  <si>
    <t>กนค.3569</t>
  </si>
  <si>
    <t>ค่าอาหารว่างและเครื่องดื่ม ในการประชุมหารืือร่วมกับ World Bank และกระทรวงการคลังสาธารณรัฐสังคมนิยมประชาธิปไตยศรีลังกาในประเด็นเกี่ยวกับการดำเนินนโยบายการคลัง 7 พ.ย.67 ห้องประชุม 501 ชั้น 5 สศค.</t>
  </si>
  <si>
    <t>บก.41/68</t>
  </si>
  <si>
    <t>บก.44/68</t>
  </si>
  <si>
    <t>บก.45/68</t>
  </si>
  <si>
    <t>บก.46/68</t>
  </si>
  <si>
    <t>บก.47/68</t>
  </si>
  <si>
    <t>กศร.3376</t>
  </si>
  <si>
    <t>ค่าพาหนะเดินทางในประเทศ ในการประชุมคณะกรรมการร่วมความตกลงการค้าสินค้าอาเซียน - อินเดีย (AITIGA -JC) ครั้งที่ 6 และการประชุมคณะอนุกรรมการที่เกี่ยวข้อง ระหว่างวันที่ 17-21 พ.ย.67 ณ กรุงนิวเดลี สาธารณรัฐอินเดีย</t>
  </si>
  <si>
    <t>บก.49/68</t>
  </si>
  <si>
    <t>กคป.3695</t>
  </si>
  <si>
    <t>บก.50/68</t>
  </si>
  <si>
    <t>บก.42/68</t>
  </si>
  <si>
    <t>ค่าจัดซื้อกระดาษชำระม้วนใหญ่ จำนวน 1,368 ม้วน (114 ลัง) จำนวน 6 งวด ( พ.ย.67 - เม.ย.68)</t>
  </si>
  <si>
    <t>บก.48/68</t>
  </si>
  <si>
    <t>9 ต..ค 67</t>
  </si>
  <si>
    <t>บก.16/68</t>
  </si>
  <si>
    <t>ค่าบริการฝากส่งสิ่งของทางไปรษณีย์ ประจำเดือนกันยายน 2567</t>
  </si>
  <si>
    <t>ฎ.3/3100000064</t>
  </si>
  <si>
    <t>ฎ.8/3600000021 เงินยืม ส.3/68 รชยา 193300
ฎ.27/3600000034 เงินยืม ส.7/68 อัญวีญ์ 1002000</t>
  </si>
  <si>
    <t>ค่าใช้จ่ายในการจัดงานครบรอบวันสถาปนาสำนักงานเศรษฐกิจการคลัง ปีที่ 63 ในวันศุกร์ที่ 18 ต.ค. 67</t>
  </si>
  <si>
    <t>ค่าอาหารว่างและเครื่องดื่มในการประชุมคณะกรรมการการกำหนดนโยบายและยกร่างกฎหมายเพื่อจัดตั้งศูนย์กลางทางการเงิน ครั้งที่ 1/67 วันที่ 11 ต.ค.67 ณ ห้องประชุม 1803 ชั้น 18 อาคาร 150 ปี กระทรวงการคลัง</t>
  </si>
  <si>
    <t>ยืมเงินค่าจัดซื้อก็อกน้ำ จำนวน 2 ชุด เพื่อทดแทนของเดิมที่ชำรุด (ห้องเก็บอุปกรณ์ทำความสะอาด ชั้น 2 และชั้น 7) (นางสาววราภรณ์ ผิวงาม)</t>
  </si>
  <si>
    <t>ค่าจัดซื้อวัสดุอุปกรณ์สำหรับเปลี่ยนและทาสีฝ้าเพดาน (ห้องทำงานผู้เชี่ยวชาญด้านพัฒนาสถาบันการเงินเฉพาะกิจ) (เงินยืม นางสาวศุภรัตน์ งามจิตรกุล)</t>
  </si>
  <si>
    <t>ยืมเงิน ค่าจัดซื้อวัสดุอุปกรณ์สำหรับซ่อมสวิตซ์ไฟและหลอดไฟ ระบบไฟของเครื่องสแกนนิ้วและโต๊ะประชุม (นางสาววราภรณ์ ผิวงาม)</t>
  </si>
  <si>
    <t>18 ต..ค 67</t>
  </si>
  <si>
    <t>ค่าโทรศัพท์เคลื่อนที่ จำนวน 3 หมายเลข สำหรับเดือน ต.ค. 2567</t>
  </si>
  <si>
    <t>ค่าโทรศัพท์เคลื่อนที่ จำนวน 3 หมายเลข สำหรับเดือน ต.ค. 2567 สำหรับ บริษัท True</t>
  </si>
  <si>
    <t>บก.36/68</t>
  </si>
  <si>
    <t>ค่าโทรศัพท์ประเภทสำนักงาน ก.ย. 67 จำนวน 103 หมายเลข</t>
  </si>
  <si>
    <t>ค่าโทรศัพท์ประเภทสำนักงาน ก.ย. 67 จำนวน 30 หมายเลข</t>
  </si>
  <si>
    <t>การบริจาคเงินสำหรับการเพิ่มทุนกองทุนพัฒนาเอเชีย ครั้งที่ 11 (ADF : XII) งวดที่ 9/10</t>
  </si>
  <si>
    <t>3) การบริจาคในการเพิ่มทุนสมาคมพัฒนาการระหว่างประเทศ International Development  Association (IDA)) ครั้งที่ 18 งวดที่ 9/9</t>
  </si>
  <si>
    <t>4) การบริจาคในการเพิ่มทุนสมาคมพัฒนาการระหว่างประเทศ International Development  Association (IDA)) ครั้งที่ 19 งวดที่ 6/9</t>
  </si>
  <si>
    <t>5) การบริจาคในการเพิ่มทุนสมาคมพัฒนาการระหว่างประเทศ International Development  Association (IDA)) ครั้งที่ 20 งวดที่ 4/4</t>
  </si>
  <si>
    <t>การบริจาคในการเพิ่มทุนสมาคมพัฒนาการระหว่างประเทศ International Development  Association (IDA)) ครั้งที่ 18 งวดที่ 9/9</t>
  </si>
  <si>
    <t>การบริจาคในการเพิ่มทุนสมาคมพัฒนาการระหว่างประเทศ International Development  Association (IDA)) ครั้งที่ 19 งวดที่ 6/9</t>
  </si>
  <si>
    <t>การบริจาคในการเพิ่มทุนสมาคมพัฒนาการระหว่างประเทศ International Development  Association (IDA)) ครั้งที่ 20 งวดที่ 4/4</t>
  </si>
  <si>
    <r>
      <t>2.1.2 ค่าใช้สอย</t>
    </r>
    <r>
      <rPr>
        <i/>
        <sz val="14"/>
        <color theme="1"/>
        <rFont val="TH SarabunPSK"/>
        <family val="2"/>
      </rPr>
      <t xml:space="preserve"> </t>
    </r>
  </si>
  <si>
    <t xml:space="preserve">2.1.1 ค่าตอบแทน </t>
  </si>
  <si>
    <t xml:space="preserve">2. งบดำเนินงาน </t>
  </si>
  <si>
    <r>
      <t>1.2 ค่าจ้างชั่วคราว</t>
    </r>
    <r>
      <rPr>
        <b/>
        <vertAlign val="superscript"/>
        <sz val="14"/>
        <color theme="1"/>
        <rFont val="TH SarabunPSK"/>
        <family val="2"/>
      </rPr>
      <t xml:space="preserve"> </t>
    </r>
  </si>
  <si>
    <t>ฎ.56</t>
  </si>
  <si>
    <t>ฎ.62</t>
  </si>
  <si>
    <t>ฎ.60</t>
  </si>
  <si>
    <t>ฎ.9</t>
  </si>
  <si>
    <t>ฎ.10</t>
  </si>
  <si>
    <t>ฎ.28
ฎ.30
ฎ.63
ฎ.94
ฎ.122
ฎ.130</t>
  </si>
  <si>
    <t>ฎ.53</t>
  </si>
  <si>
    <t>ฎ.3</t>
  </si>
  <si>
    <t>ฎ.51</t>
  </si>
  <si>
    <t>ฎ.37</t>
  </si>
  <si>
    <t>ฎ.22</t>
  </si>
  <si>
    <t>ฎ.66</t>
  </si>
  <si>
    <t xml:space="preserve"> รายละเอียดงบประมาณรายจ่ายประจำปีงบประมาณ พ.ศ. 2568  ตามระบบ (New GFMIS Thai)</t>
  </si>
  <si>
    <t>22) วัสดุสำนักงาน (รวมวัสดุอื่น ๆ)</t>
  </si>
  <si>
    <t>23) วัสดุเชื้อเพลิงและหล่อลื่น</t>
  </si>
  <si>
    <t>24) วัสดุที่สถานเอกอัครราชทูตไทยเรียกเก็บ</t>
  </si>
  <si>
    <t>25) วัสดุงานบ้านงานครัว</t>
  </si>
  <si>
    <t>26) วัสดุไฟฟ้าและวิทยุ</t>
  </si>
  <si>
    <t>27) วัสดุคอมพิวเตอร์</t>
  </si>
  <si>
    <t>28) วัสดุยานพาหนะและขนส่ง</t>
  </si>
  <si>
    <t>29) วัสดุหนังสือ วารสาร และตำรา</t>
  </si>
  <si>
    <t>ค่าใช้จ่ายในการประชุมเตรียมการการเป็นเจ้าภาพจัดการประชุมประจำปีสภาผู้ว่าการธนาคารโลกและ
กองทุนการเงินระหว่างประเทศ ปี 2569 ระหว่างวันที่ 21-26 ต.ค.67 ณ กรุงวอชิงตัน ดี.ซี. สหรัฐอเมริกา 
(นางสาวอัญวีณ์)</t>
  </si>
  <si>
    <t>ฎ.30</t>
  </si>
  <si>
    <t>ฎ.31/3100000103</t>
  </si>
  <si>
    <t>ฎ.31</t>
  </si>
  <si>
    <t>ฎ.32/3100000104</t>
  </si>
  <si>
    <t>ฎ.32</t>
  </si>
  <si>
    <t>ฎ.63</t>
  </si>
  <si>
    <t>ฎ.67</t>
  </si>
  <si>
    <t>ฎ.68</t>
  </si>
  <si>
    <t>ฎ.67/3100000152</t>
  </si>
  <si>
    <t>ฎ.68/3100000153</t>
  </si>
  <si>
    <t>ฎ.16</t>
  </si>
  <si>
    <t>ฎ.8</t>
  </si>
  <si>
    <t>ฎ.27</t>
  </si>
  <si>
    <t>ฎ.1</t>
  </si>
  <si>
    <t>บก.9/68</t>
  </si>
  <si>
    <t>ฎ.77</t>
  </si>
  <si>
    <t>ฎ.76</t>
  </si>
  <si>
    <t>ฎ.78</t>
  </si>
  <si>
    <t>ฎ.79</t>
  </si>
  <si>
    <t>ฎ.82</t>
  </si>
  <si>
    <t>ฎ.83</t>
  </si>
  <si>
    <t>ฎ.93</t>
  </si>
  <si>
    <t>ฎ.94</t>
  </si>
  <si>
    <t>ฎ.97</t>
  </si>
  <si>
    <t>ฎ.98</t>
  </si>
  <si>
    <t>ณ 31 ธ.ค. 67</t>
  </si>
  <si>
    <t>ฎ.83/3600000107</t>
  </si>
  <si>
    <t>08/11/2567
19/11/2567
26/11/2567</t>
  </si>
  <si>
    <t>ฎ.82/3600000106
ฎ.131/3600000130
ฎ.156/3600000142</t>
  </si>
  <si>
    <t>ฎ.97/3600000108</t>
  </si>
  <si>
    <t>บก.51/68</t>
  </si>
  <si>
    <t>สบท 3155</t>
  </si>
  <si>
    <t>ค่าตอบแทนการปฏิบัติงานนอกเวลาราชการ (1-30 พ.ย.67)</t>
  </si>
  <si>
    <t>บก.53/68</t>
  </si>
  <si>
    <t>ค่าตอบแทนการปฏิบัติงานนอกเวลาราชการ ประจำเดือน พฤศจิกายน 2567</t>
  </si>
  <si>
    <t>บก.54/68</t>
  </si>
  <si>
    <t>ค่าตอบแทนการปฏิบัติงานนอกเวลาราชการ ระหว่างวันที่ 4 - 30 พฤศจิกายน 2567</t>
  </si>
  <si>
    <t>บก.59/68</t>
  </si>
  <si>
    <t>ค่าตอบแทนการปฏิบัติงานนอกเวลาราชการ (11 พ.ย.67 - 1 ธ.ค.67)</t>
  </si>
  <si>
    <t>บก.61/68</t>
  </si>
  <si>
    <t>สบท.3136</t>
  </si>
  <si>
    <t xml:space="preserve">ค่าตอบแทนคณะกรรมการผู้อ่าน ตรวจและประเมินผลงานวิชาการ ในการประชุมคณะกรรมการประเมินผลงานเพื่อเลื่อนข้าราชการพลเรือนสามัญขึ้นแต่งตั้งให้ดำรงตำแหน่งประเภทวิชาการ ระดับชำนาญการ และระดับชำนาญการพิเศษ กองนโยบายพัฒนาระบบการเงินภาคประชาชน ตามคำสั่ง อ.ก.พ. สศค. ที่ 3/2567 ในวันพฤหัสบดีที่ 14 พ.ย.67
</t>
  </si>
  <si>
    <t>ฎ.126/3600000128</t>
  </si>
  <si>
    <t>บก.67/68</t>
  </si>
  <si>
    <t>กนภ.3697</t>
  </si>
  <si>
    <t>ค่าเบี้ยประชุมคณะกรรมการวินิจฉัยภาษีที่ดินและสิ่งปลูกสร้าง ครั้งที่ 4/2567 (26 พ.ย.67)</t>
  </si>
  <si>
    <t>บก.77/68</t>
  </si>
  <si>
    <t>กนค.3549</t>
  </si>
  <si>
    <t>ค่าเบี้ยประชุมคณะกรรมการ ในการประชุมคณะกรรมการนโยบายการเงินการคลังของรัฐ ครั้งที่ 3/2567 (11 ธ.ค.67)</t>
  </si>
  <si>
    <t>บก.79/68</t>
  </si>
  <si>
    <t>ค่าตอบแทนคณะกรรมการผู้อ่าน ตรวจและประเมินผลงานวิชาการ ในการประชุมคณะกรรมการประเมินผลงานเพื่อเลื่อนข้าราชการพลเรือนสามัญขึ้นแต่งตั้งให้ดำรงตำแหน่งประเภทวิชาการ ระดับชำนาญการ และระดับชำนาญการพิเศษ กองนโยบายการออมและการลงทุน ตามคำสั่ง อ.ก.พ. สศค. ที่ 3/2567 ในวันพุธที่ 27 พ.ย.67</t>
  </si>
  <si>
    <t>บก.86/68</t>
  </si>
  <si>
    <t>กลุ่มงานจริยธรรม 3358</t>
  </si>
  <si>
    <t>ค่าเบี้ยประชุม คณะกรรมการจริยธรรมประจำสำนักงานเศรษฐกิจการคลัง ครั้งที่ 2/2567 (16 ธ.ค.67)</t>
  </si>
  <si>
    <t>บก.90/68</t>
  </si>
  <si>
    <t>กนค.3566</t>
  </si>
  <si>
    <t>ค่าตอบแทนการปฏิบัติงานนอกเวลาราชการ ระหว่างวันที่ 2-4 ธ.ค.67</t>
  </si>
  <si>
    <t>ค่าอาหารว่างและเครื่องดื่ม ในการประชุมคณะกรรมการบริหารระดับสูง ตามคำสั่ง สศค. ที่ 102/2559 ลว. 25 พ.ค.59 ในวันจันทร์ที่ 7 ตุลาคม 2567</t>
  </si>
  <si>
    <t>ฎ.78/3600000076</t>
  </si>
  <si>
    <t>ฎ.155/3600000141</t>
  </si>
  <si>
    <t>ฎ.76/3600000074</t>
  </si>
  <si>
    <t>16/10/2567
17/10/2567
29/10/2567
11/11/2567
15/11/2567
19/11/2567</t>
  </si>
  <si>
    <t>ฎ.28/3600000035 เงินยืม
ฎ.30/3600000044 เงินยืม
ฎ.63/3600000065
ฎ.94/3100000197 
ฎ.122/3100000239
ฎ.130/3100000263</t>
  </si>
  <si>
    <t>ฎ.147/3600000137</t>
  </si>
  <si>
    <t>ฎ.117/3100000237</t>
  </si>
  <si>
    <t>ฎ.114/3100000234</t>
  </si>
  <si>
    <t>ฎ.138/3600000134</t>
  </si>
  <si>
    <t>ฎ.79/3600000089</t>
  </si>
  <si>
    <t>ฎ.99/3100000228</t>
  </si>
  <si>
    <t>ฎ.115/3100000235</t>
  </si>
  <si>
    <t>ฎ.119/3600000118</t>
  </si>
  <si>
    <t>ฎ.164/3600000148</t>
  </si>
  <si>
    <t>ฎ.150/3600000139</t>
  </si>
  <si>
    <t>ฎ.151/3600000140</t>
  </si>
  <si>
    <t>ฎ.100/3600000110</t>
  </si>
  <si>
    <t>บก.52/68</t>
  </si>
  <si>
    <t>ค่าจ้างซ่อมระบบปรับอากาศ รถตู้ส่วนกลาง ยี่ห้อ นิสสัน จำนวน 2 คัน</t>
  </si>
  <si>
    <t>ฎ.141/3100000269</t>
  </si>
  <si>
    <t>บก.55/68</t>
  </si>
  <si>
    <t>ค่าอาหารว่างและเครื่องดื่ม สำหรับการประชุมคณะกรรมการกำหนดนโยบายและยกร่างกฏหมายเพื่อจัดตั้งศูนย์กลางทางการเงิน ครั้งที่ 2/2567 ในวันอังคารที่ 12 พฤศจิกายน 2567 ณ ห้องประชุม 401 ชั้น 4 อาคาร 150 ปี กระทรวงการคลัง</t>
  </si>
  <si>
    <t>บก.56/68</t>
  </si>
  <si>
    <t>กอล.3646</t>
  </si>
  <si>
    <t>ค่าอาหารว่างและเครื่องดื่ม ประชุมหารือแลกเปลี่ยนความคิดเห็นเกี่ยวกับนโยบาย แผน และมาตรการเกี่ยวกับการพัฒนาตลาดทุนและนวัตกรรมในตลาดทุน (13 พ.ย.67)</t>
  </si>
  <si>
    <t>บก.58/68</t>
  </si>
  <si>
    <t>กพช. 021697129 ต่อ 128</t>
  </si>
  <si>
    <t>ค่าอาหารว่างและเครื่องดื่ม ในการประชุมหารือแก้ไขพระราชกำหนดการกู้ยืมเงินที่เป็นการฉ้อโกงประชาชน พ.ศ2567 และที่แก้ไขเพิ่มเติม ครั้งที่ 2/2567 (12 พ.ย.67)</t>
  </si>
  <si>
    <t>ฎ.170/3600000149</t>
  </si>
  <si>
    <t>บก.60/68</t>
  </si>
  <si>
    <t>ค่าอาหารกลางวัน อาหารว่างและเครื่องดื่ม ในการประชุมกลุ่มย่อยของคณะทำงานติดตามผลการจัดเก็บรายได้ ระหว่างวันที่ 22-27 พ.ย.67</t>
  </si>
  <si>
    <t>ค่าอาหารว่างและเครื่องดื่ม ในการประชุมคณะกรรมการประเมินผลงานเพื่อเลื่อนข้าราชการพลเรือนสามัญขึ้นแต่งตั้งให้ดำรงตำแหน่งประเภทวิชาการ ระดับชำนาญการ และระดับชำนาญการพิเศษ กองนโยบายพัฒนาระบบการเงินภาคประชาชน ตามคำสั่ง อ.ก.พ. สศค. ที่ 3/2567 ในวันพฤหัสบดีที่ 14 พ.ย.67</t>
  </si>
  <si>
    <t>ฎ.127/3600000129</t>
  </si>
  <si>
    <t>ค่าอาหารว่างและเครื่องดื่ม ในการประชุมคณะทำงานติดตามผลการจัดเก็บรายได้ของรัฐบาล ครั้งที่ 2/2568 ในวันที่ 2 ธ.ค.67</t>
  </si>
  <si>
    <t>บก.64/68</t>
  </si>
  <si>
    <t>ค่าเช่าหม้อแปลงไฟฟ้า (ระยะเวลา 3 เดือน 1 ต.ค.67-31 ธ.ค.67)</t>
  </si>
  <si>
    <t>บก.66/68</t>
  </si>
  <si>
    <t>กพบ.3358</t>
  </si>
  <si>
    <t>ค่าอาหารว่างและเครื่องดื่ม ประชุมคณะทำงานการประเมินองค์กรคุณธรรมของสำนักงานเศรษฐกิจการคลัง ครั้งที่ 1/2568</t>
  </si>
  <si>
    <t>บก.68/68</t>
  </si>
  <si>
    <t>กศร.3601</t>
  </si>
  <si>
    <t>ค่าพาหนะเดินทางในประเทศ ในการเข้าร่วมการประชุุมคณะทำงานบริหารธนาคารเพื่อการลงทุนในโครงสร้างพื้นฐานเอเชีย ปี 2567 ระหว่างวันที่ 9-13 ธ.ค.67 ณ กรุงปักกิ่ง สาธารณรัฐประชาชนจีน</t>
  </si>
  <si>
    <t>บก.71/68</t>
  </si>
  <si>
    <t>ค่าอาหารว่างและเครื่องดื่ม ในการประชุมหารือแก้ไขพระราชกำหนดการกู้ยืมเงินที่เป็นการฉ้อโกงประชาชน พ.ศ2567 
และที่แก้ไขเพิ่มเติม ครั้งที่ 3/2567 (29 พ.ย.67)</t>
  </si>
  <si>
    <t>บก.72/68</t>
  </si>
  <si>
    <t>กศร.3617</t>
  </si>
  <si>
    <t>ค่าสถานที่(ห้องประชุม) และค่าอาหารว่างและเครื่องดื่ม ในการเข้าเยี่ยมคารวะและการประชุมหารือระหว่างรัฐมนตรีว่าการกระทรวงการคลังกับสภาธุรกิจสหรัฐอเมริกา-อาเซียน ( 25 พ.ย.67)</t>
  </si>
  <si>
    <t>บก.73/68</t>
  </si>
  <si>
    <t>กกม.3269</t>
  </si>
  <si>
    <t>ค่าใช้จ่ายเดินทางไปราชการ ในการเดินทางไปสำนักงานคดีปกครองเพชรบุรี จ.เพชรบุรี 21 พ.ย.67</t>
  </si>
  <si>
    <t>บก.75/68</t>
  </si>
  <si>
    <t>ค่าอาหารว่างและเครื่องดื่ม ในการประชุม เรื่องการจัดทำและการบริหารงบประมาณของกค ในการศึกษาดูงานของคณะกรรมมาธิการศึกษาการจัดทำและติดตามการบริหารงบประมาณ สภาผู้แทนราษฎร และคณะกรรมาธิการกิจการงบประมาณสภาประชาชนแห่งชาติ สาธารณรัฐประชาชนจีน 22 พ.ย.67 ณ กระทรวงการคลัง</t>
  </si>
  <si>
    <t>บก.76/68</t>
  </si>
  <si>
    <t>ค่าอาหารว่างและเครื่องดื่ม ในการประชุมคณะกรรมการกลั่นกรองเรื่องเสนอคณะกรรมการนโยบายการเงินการคลังของรัฐ ครั้งที่ 1/2567 (6 ธ.ค.67)</t>
  </si>
  <si>
    <t>ค่าอาหารว่างและเครื่องดื่ม ในการประชุมคณะกรรมการนโยบายการเงินการคลังของรัฐ ครั้งที่ 3/2567 (11 ธ.ค.67)</t>
  </si>
  <si>
    <t>บก.78/68</t>
  </si>
  <si>
    <t>ส่วนพัฒนาทรัพยากรบุคคล 3127</t>
  </si>
  <si>
    <t>ค่าพาหนะเดินทางในประเทศ ในการศึกษาดูงานหลักสูตรการบริหารความมั่นคงสำหรับผู้บริหารระดับสูง : Security Management 
and leadership for Executives Program (สวปอ.มส.SML รุ่นที่6) 28-39 พ.ย.67 ณ จ.ลพบุรีและ จ.ปทุมธานี</t>
  </si>
  <si>
    <t>ค่าอาหารว่างและเครื่องดื่ม ในการประชุมคณะกรรมการประเมินผลงานเพื่อเลื่อนข้าราชการพลเรือนสามัญขึ้นแต่งตั้งให้ดำรงตำแหน่งประเภทวิชาการ ระดับชำนาญการ และระดับชำนาญการพิเศษ กองนโยบายการออมและการลงทุน ตามคำสั่ง อ.ก.พ. สศค. ที่ 3/2567 ในวันพุธที่ 27 พ.ย.67</t>
  </si>
  <si>
    <t>บก.80/68</t>
  </si>
  <si>
    <t>สบท.3154</t>
  </si>
  <si>
    <t>ค่าอาหารว่างและเครื่องดื่ม ในการประเมินควารู้ความสามารถ ทักษะ และสมรรถนะ ครั้งที่ 2 (สอบสัมภาษณ์) เพื่อสรรหาและเลือกสรรพนักงานราชการทั่วไป ในตำแหน่งนิติกร ของ สศค. (28 พ.ย.67)</t>
  </si>
  <si>
    <t>บก.81/68</t>
  </si>
  <si>
    <t>ยืมเงินค่าผ่านทางพิเศษ ระหว่างวันที่ 1 - 31 ธันวาคม 2567 (นายทศพล เตชะธนะวัฒน์)</t>
  </si>
  <si>
    <t>บก.82/68</t>
  </si>
  <si>
    <t>สพท.3127</t>
  </si>
  <si>
    <t>ค่าลงทะเบียน ในการฝึกอบรมหลักสูตร มาตรฐานวิชาชีพด้านการจัดซื้อจัดจ้างและการบริหารพัสดุภาครัฐด้วยอิเล็กทรอนิกส์ (Electronic Certificate in Public Procurement : e-CPP) ประจำปีงบประมาณ พ.ศ.2568 (1 ธ.ค.67-1 มี.ค.68) นางสาวสุปราณี ไชยสระแก้ว</t>
  </si>
  <si>
    <t>ฎ.162/3600000146</t>
  </si>
  <si>
    <t>บก.83/68</t>
  </si>
  <si>
    <t>ค่าอาหารว่างและเครื่องดื่ม ในการประชุมคะณะกรรมการพิจารณาปัจจัยเพื่อกำหนดอัตราเงินเดือน สำหรับวุฒิที่ ก.พ.รับรอง เพื่อบรรจุแต่งตั้งเป็นข้าราชการพลเรือนสามัญของสศค. (28 พ.ย.67)</t>
  </si>
  <si>
    <t>บก.87/68</t>
  </si>
  <si>
    <t>ค่าพาหนะเดินทางในประเทศ ในการเข้าร่วมพิธีลงนามบันทึกข้อตกลงความร่วมมือและเข้าพบหน่วยงานพันธมิตรของธนาคารเพื่อการส่งออกและนำเข้าแห่งประเทศไทย ระหว่างวันที่ 18-22 ธ.ค.67 ณ เครือรัฐออสเตเลีย</t>
  </si>
  <si>
    <t>บก.88/68</t>
  </si>
  <si>
    <t>กศร.3684</t>
  </si>
  <si>
    <t>ค่าพาหนะเดินทางในประเทศ ในการเข้าร่วมประชุมเจรจาจัดทำความตกลงการค้าเสรีไทย ภูฏาน ครั้งที่ 3 ระหว่างวันที่ 11-13 ธ.ค.67 ณ เมืองพาโร ราชอาณาจักรภูฏาน</t>
  </si>
  <si>
    <t>บก.89/68</t>
  </si>
  <si>
    <t>ค่าอาหารว่างและเครื่องดืม ในการประชุมคณะกรรมการเพื่อพิจารณาจัดทำแผนการคลังระยะปานกลาง ครั้งที่ 1/2568 ในวันพุธที่ 4 ธ.ค.67</t>
  </si>
  <si>
    <t>บก.63/68</t>
  </si>
  <si>
    <t>ค่าบริการฝากส่งสิ่งของทางไปรษณีย์ ประจำเดือน ตุลาคม 2567</t>
  </si>
  <si>
    <t>ฎ.116/3100000236</t>
  </si>
  <si>
    <t>บก.69/68</t>
  </si>
  <si>
    <t>ค่าสมาชิกรายเดือนการใช้บริการสัญญาณเคเบิ้ล ทีวี ระบบจานดาวเทียม DSTV ประจำเดือนพฤศจิกายน (3 ต.ค.-2 พ.ย.67)</t>
  </si>
  <si>
    <t>บก.74/68</t>
  </si>
  <si>
    <t>ค่าไฟฟ้าของ สศค. ประจำเดือน ตุลาคม 2567</t>
  </si>
  <si>
    <t>ฎ.134/3100000266</t>
  </si>
  <si>
    <t>ฎ.77/3600000075</t>
  </si>
  <si>
    <t>ฎ.118/3600000117</t>
  </si>
  <si>
    <t>บก.57/68</t>
  </si>
  <si>
    <t>ค่าจัดซื้อหนังสือพิมพ์รูปแบบฉบับพิมพ์ ประจำปีงบประมาณ พ.ศ.2568 (1 ต.ค.67 - 30 ต.ค.68)</t>
  </si>
  <si>
    <t>บก.70/68</t>
  </si>
  <si>
    <t>ค่าซื้อกระดาษเช็ดมือ จำนวน 42 ลัง (พ.ย.67 - เม.ย.68) แบ่งจ่ายเป็นรายเดือน จำนวน 6 งวด</t>
  </si>
  <si>
    <t>บก.84/68</t>
  </si>
  <si>
    <t>สบพ.3150</t>
  </si>
  <si>
    <t>ค่าจัดซื้อกระดาษถ่ายเอกสารหรือพิมพ์งานทั่วไป ขนาดเอ 4 ชนิด 80 แกรม จำนวน 3,500 รีม</t>
  </si>
  <si>
    <t>บก.85/68</t>
  </si>
  <si>
    <t>ค่าจัดซื้อสติ๊กเกอร์กระดาษขาวด้าน จำนวน 1,000 แผ่น เพื่อใช้ในการแก้ไขปรับปรุงเนื้อหาในแผ่นพับ
สื่อประชาสัมพันธ์เรื่องการแก้ไขปัญหาหนี้นอกระบบ (กพช.)</t>
  </si>
  <si>
    <t>บก.65/68</t>
  </si>
  <si>
    <t>ค่าใช้จ่ายเพิ่มเติมในการจัดส่งของที่ระลึกออกจากคลังสินค้า ณ กรุงวอชิงตัน ดี.ซี. สหรัฐอเมริกา สำหรับใช้ในการประชาสัมพันธ์การเป็นเจ้าภาพจัดการประชุมประจำปีสภาผู้ว่าการธนาคารโลกและกองทุนการเงินระหว่างประเทศ ปี 2567 ของประเทศไทย</t>
  </si>
  <si>
    <t>ฎ.242/360000237</t>
  </si>
  <si>
    <t>ค่าพาหนะเดินทางในประเทศ ในการเข้าร่วมการประชุมเชิงปฏิบัติการ เรื่อง revenue Statistics in Asia and the Pacific Technical Workshop 2024 ระหว่างวันที่ 4-5 พ.ย.67 ณ กรุงมะนิลา สาธารณรัฐฟิลิปปินส์ (นางวรรณา แพรศรี)</t>
  </si>
  <si>
    <t>ค่าซ่อมแซมบำรุงรักษาเครื่องปรับอากาศ ยี่ห้อ YORK เลขที่ครุภัณฑ์ 51408-0046</t>
  </si>
  <si>
    <t>ฎ.175/3600000159</t>
  </si>
  <si>
    <t>ฎ.219/3600000226</t>
  </si>
  <si>
    <t>ฎ.220/3600000227</t>
  </si>
  <si>
    <t>ฎ.174/3600000158</t>
  </si>
  <si>
    <t>ฎ.183/3600000167</t>
  </si>
  <si>
    <t>13/11/2567
29/11/2567
11/12/2567
17/12/2567
17/12/2567</t>
  </si>
  <si>
    <t>ฎ.102/3600000112 เงินยืม
ฎ.168/3100000316 ค่าเช่ารถตู้
ฎ.195/3100000358 ค่าเช่าห้องประชุม
ฎ.217/3600000225 ค่าวิทยากร
ฎ.218/3200000017 ค่าบัตรเครดิต</t>
  </si>
  <si>
    <t>ค่าใช้จ่ายในการจัดกิิจกรรมภายใต้โครงการเสริมสร้างความรู้ความเข้าใจ เรื่องการคุ้มครองเงินฝาก และคุ้มครองผู้ใช้บริการทางการเงินให้กับประชาชน ภาคธุรกิจ และองค์กรปกครองส่วนท้องถิ่น ครั้งที่ 1/2568 
ระหว่างวันที่ 18-20 พ.ย.67 จ.สระบุรี และจ.นครราชสีมา</t>
  </si>
  <si>
    <t>ฎ.257/3600000246</t>
  </si>
  <si>
    <t>16/12/2567
16/12/2567</t>
  </si>
  <si>
    <t>ฎ.206/3600000219
ฎ.207/3600000220</t>
  </si>
  <si>
    <t>ฎ.189/3600000189</t>
  </si>
  <si>
    <t>11/11/2567
09/12/2567</t>
  </si>
  <si>
    <t>ฎ.93/3100000196
ฎ.190/3100000356</t>
  </si>
  <si>
    <t>ฎ.259/3600000248</t>
  </si>
  <si>
    <t>ฎ.198/3600000203</t>
  </si>
  <si>
    <t>ฎ.199/3600000204</t>
  </si>
  <si>
    <t>ฎ.214/3600000224</t>
  </si>
  <si>
    <t>ฎ.180/3600000166</t>
  </si>
  <si>
    <t>ฎ.200/3600000205</t>
  </si>
  <si>
    <t>ฎ.178/3600000164</t>
  </si>
  <si>
    <t>ฎ.193/3600000200</t>
  </si>
  <si>
    <t>ฎ.240/3600000236</t>
  </si>
  <si>
    <t>ฎ.177/3600000161</t>
  </si>
  <si>
    <t>ฎ.176/3600000160</t>
  </si>
  <si>
    <t>ฎ.191/3600000198</t>
  </si>
  <si>
    <t>ฎ.196/3600000201</t>
  </si>
  <si>
    <t>ฎ.258/3600000247</t>
  </si>
  <si>
    <t>ค่าตอบแทนการปฏิบัติงานนอกเวลาราชการ ระหว่างวันที่ 1-30 พ.ย.67</t>
  </si>
  <si>
    <t>ฝ่ายบริหารทั่วไป 3125</t>
  </si>
  <si>
    <t>บก.91/68</t>
  </si>
  <si>
    <t>ฎ.192/3600000199</t>
  </si>
  <si>
    <t>ค่าตอบแทนการปฏิบัติงานนอกเวลาราชการ ประจำเดือน ธันวาคม 2567</t>
  </si>
  <si>
    <t>บก.92/68</t>
  </si>
  <si>
    <t>ยืมเงิน ค่าจัดซื้อพระบรมฉายาลักษณ์พระบาทสมเด็จพระเจ้าอยู๋หัว 1 ภาพ และสมเด็จพระนางเจ้าฯ 1 ภาพ พระบรมราชินี 1 ภาพ พร้อมกรอบ (นางศิริวิศา หวังสมบูรณ์ดี)</t>
  </si>
  <si>
    <t>บก.93/68</t>
  </si>
  <si>
    <t>กกง.3288</t>
  </si>
  <si>
    <t>บก.94/68</t>
  </si>
  <si>
    <t>ค่าอาหารว่างและเครื่องดื่ม ในการประชุมคณะกรรมการกำหนดนโยบายและยกร่างกฎหมายเพื่อจัดตั้งศูนย์กลางทางการเงิน ครั้งที่ 3/2567 
ในวันพุธที่ 18 ธ.ค.67</t>
  </si>
  <si>
    <t>ค่าตอบแทนการปฏิบัติงานนอกเวลาราชการ ประจำเดือน ธันวาคม 2567 (2-31 ธ.ค.67)</t>
  </si>
  <si>
    <t>บก.95/68</t>
  </si>
  <si>
    <t>สบท.3137</t>
  </si>
  <si>
    <t>ค่าอาหารว่างและเครื่องดื่ม ในการจัดประชุมคณะกรรมการกลั่นกรองการดำเนินการตามเงื่อนไขหลักของกรอบการสั่งสมประสบการณ์ของข้าราชการผู้มีผลสัมฤทธิ์สูง ระดับกรม ครั้งที่ 1/2567 ( 6 ธ.ค.67)</t>
  </si>
  <si>
    <t>ค่าจ้างซ่อมแซมบำรุงรักษาเครื่องปรับอากาศ จำนวน 2 เครื่อง เลขที่ครุภัณฑ์ สศค.51408-0019 (สลข.) และ สศค.51408-0100 (กนภ.)</t>
  </si>
  <si>
    <t>บก.96/68</t>
  </si>
  <si>
    <t>บก.97/68</t>
  </si>
  <si>
    <t>ค่าจ้างซ่อมแซมบำรุงรักษาเครื่องปรับอากาศ จำนวน 1 เครื่อง เลขที่ครุภัณฑ์ สศค.51408-0100 (กนภ.)</t>
  </si>
  <si>
    <t>ค่าจ้างซ่อมแซมบำรุงรักษาเครื่องปรับอากาศ จำนวน 1 เครื่อง เลขที่ครุภัณฑ์ สศค.51413-0030 (กนค.)</t>
  </si>
  <si>
    <t>บก.98/68</t>
  </si>
  <si>
    <t>บก.99/68</t>
  </si>
  <si>
    <t>ค่าซื้อวัสดุอุปกรณ์สำหรับใช้ในการซ่อมแซมและบำรุงรักษาภายในสศค. จำนวน 8 รายการ (ยืมเงิน นางสาวภัคภิญญา ยุระยาตร์)</t>
  </si>
  <si>
    <t>ค่าซื้อวัสดุอุปกรณ์สำหรับซ่อมแซมเครื่องปรับอากาศ ซ่อมปลั๊กไฟ และซ่อมวาล์วน้ำ 
(ยืมเงิน นางสาววราภรณ์ ผิวงาม)</t>
  </si>
  <si>
    <t>บก.100/68</t>
  </si>
  <si>
    <t>บก.101/68</t>
  </si>
  <si>
    <t>ฎ.208/3600000221</t>
  </si>
  <si>
    <t>กศร.3659</t>
  </si>
  <si>
    <t>บก.102/68</t>
  </si>
  <si>
    <t>ค่าพาหนะเดินทางในประเทศ โครงการฝึกอบรมสำหรับข้าราชการพลเรือนสามัญที่อยู่ระหว่างทดลองปฏิบัติหน้าที่ราชการ หลักสูตรการเป็นข้าราชการที่ดี (ต้นกล้าข้าราชการ) รุ่นที่ 1/2568 29 - 31 ม.ค. 68 จ.นครปฐม จำนวน 9 ราย</t>
  </si>
  <si>
    <t>ค่าจ้างซ่อมเครื่องพิมพ์เลเซอร์ เลขที่ครุภัณฑ์ สศค.60411-0657</t>
  </si>
  <si>
    <t>ค่าจ้างเหมาบริการทำความสะอาด ณ อาคารสำนักงานเศรษฐกิจการคลัง (เดิม) ชั้น 4</t>
  </si>
  <si>
    <t>สพท.3133</t>
  </si>
  <si>
    <t>บก.103/68</t>
  </si>
  <si>
    <t>บก.104/68</t>
  </si>
  <si>
    <t>บก.105/68</t>
  </si>
  <si>
    <t>ฎ.251/3100000457</t>
  </si>
  <si>
    <t>ค่าตอบแทนกรรมการผู้อ่าน ตรวจและประเมินผลงานวิชาการ เพื่อเลื่อนขั้นข้าราชการ 
กองนโยบายพัฒนาระบบการเงินภาคประชาชน ราย นายรัฐกิจ ภิรมย์ ในวันพฤหัสบดีที่ 12 ธ.ค.67</t>
  </si>
  <si>
    <t>บก.106/68</t>
  </si>
  <si>
    <t>ค่าอาหารว่างและเครื่องดื่ม ในการประเมินผลงานวิชาการ เพื่อเลื่อนขั้นข้าราชการ กองนโยบายพัฒนาระบบการเงินภาคประชาชน ราย นายรัฐกิจ ภิรมย์ ในวันพฤหัสบดีที่ 12 ธ.ค.67</t>
  </si>
  <si>
    <t>สบท.3139</t>
  </si>
  <si>
    <t>ค่าอาหารว่างและเครื่องดื่ม ในการประชุมคณะกรรมการพิจารณาปัจจัยเพื่อกำหนดอัตราเงินเดือน สำหรับวุฒิที่ ก.พ.รับรอง เพื่อบรรจุแต่งตั้งเป็นข้าราชการพลเรือนสามัญของสศค. (28 พ.ย.67) (กันเพิ่ม)</t>
  </si>
  <si>
    <t>บก.107/68</t>
  </si>
  <si>
    <t>สบท.3155</t>
  </si>
  <si>
    <t>ค่าตอบแทนการปฏิบัติงานนอกเวลาราชการ ระหว่างวันที่ 11-31 ธ.ค.67</t>
  </si>
  <si>
    <t>บก.108/68</t>
  </si>
  <si>
    <t>ค่าอาหารว่างและเครื่องดื่ม ในการจัดประชุมหารือกับผู้แทนหอการค้าอเมริกันในประเทศไทย ( 19 ธ.ค.67)</t>
  </si>
  <si>
    <t>บก.109/68</t>
  </si>
  <si>
    <t>ค่าจ้างทำตรายาง จำนวน 15 รายการ</t>
  </si>
  <si>
    <t>ค่าซื้อวัสดุอุปกรณ์ จำนวน 18 รายการ</t>
  </si>
  <si>
    <t>บก.110/68</t>
  </si>
  <si>
    <t>บก.111/68</t>
  </si>
  <si>
    <t>ฎ.229/3100000417</t>
  </si>
  <si>
    <t>ค่าซ่อมแซมบำรุงรักษารถราชการของสศค. จำนวน 5 คัน (ชค 9433 กทม ,. ชบ 2206 กทม. ,ฮง 1532 กทม. ,ชบ 2208 กทม. และ ศอ 6563 กทม.)</t>
  </si>
  <si>
    <t>บก.112/68</t>
  </si>
  <si>
    <t>ค่าบริการฝากส่งสิ่งของทางไปรษณีย์ ประจำเดือน พฤศจิกายน 2567</t>
  </si>
  <si>
    <t>บก.113/68</t>
  </si>
  <si>
    <t>ฎ.209/3100000393</t>
  </si>
  <si>
    <t>ค่าอาหารว่างและเครื่องดื่มในการประชุมคณะกรรมการนโยบายการเงินการคลังของรัฐ ครั้งที่ 4/2567 19 ธ.ค.67</t>
  </si>
  <si>
    <t>จ้างเหมาบริการขนย้ายกล่องเอกสาร พร้อมจัดเรียงและติดตั้ง</t>
  </si>
  <si>
    <t>บก.114/68</t>
  </si>
  <si>
    <t>บก.115/68</t>
  </si>
  <si>
    <t>ค่าซื้อวัสดุอุปกรณ์ จำนวน 4 รายการ</t>
  </si>
  <si>
    <t>ค่าจ้างทำตรายาง จำนวน 20 รายการ</t>
  </si>
  <si>
    <t>บก.116/68</t>
  </si>
  <si>
    <t>บก.117/68</t>
  </si>
  <si>
    <t>ฎ.250/3100000456</t>
  </si>
  <si>
    <t>ฎ.230/3100000418</t>
  </si>
  <si>
    <t>สบท. 021697127-160</t>
  </si>
  <si>
    <t>กพช.021697129 ต่อ 128</t>
  </si>
  <si>
    <t>ค่าอาหารว่างและเครื่องดื่ม ในการประชุมคณะกรรมการประเมินเพื่อเลื่อนข้าราชการพลเรือนสามัญขึ้นแต่งตั้งให้ดำรงตำแหน่งประเภททั่วไป 
ระดับ อาวุโส 28 ธ.ค.67</t>
  </si>
  <si>
    <t>ค่าอาหารว่างและเครื่องดื่ม ในการประชุมหารือแก้ไขพระราชกำหนดการกู้ยืมเงินที่เป็นการฉ้อโกงประชาชน พ.ศ.2567 
และที่แก้ไขเพิ่มเติม ครั้งที่ 4/2567 23 ธ.ค.67</t>
  </si>
  <si>
    <t>บก.118/68</t>
  </si>
  <si>
    <t>ฎ.248/3600000243</t>
  </si>
  <si>
    <t>สบท. 158</t>
  </si>
  <si>
    <t>ค่าตอบแทนการปฏิบัติงานนอกเวลาราชการ 18-31 ธ.ค. 67 (เพิ่มเติม)</t>
  </si>
  <si>
    <t>บก.120/68</t>
  </si>
  <si>
    <t>บก.119/68</t>
  </si>
  <si>
    <t>ค่าจ้างตรวจเช็คซ่อมแซมเครื่องปรับแต่งความถี่ของสัญญาณเสียง เครื่องสำรองไฟ เครื่องฉายภาพโปรเจคเตอร์ และลิฟท์ยกจอมอนิเตอร์</t>
  </si>
  <si>
    <t>บก.121/68</t>
  </si>
  <si>
    <t>ค่าซื้อวัสดุสำนักงานและวัสดุคอมพิวเตอร์ จำนวน 2 รายการ</t>
  </si>
  <si>
    <t>บก.122/68</t>
  </si>
  <si>
    <t>ค่าจัดทำประกันภัยรถราชการภาคบังคับ จำนวน 16 คัน</t>
  </si>
  <si>
    <t>ค่าอาหารว่างและเครื่องดื่ม ในการจัดประชุมคณะกรรมการบริหารระดับสูง 25 ธ.ค.67</t>
  </si>
  <si>
    <t>บก.123/68</t>
  </si>
  <si>
    <t>บก.124/68</t>
  </si>
  <si>
    <t>ค่าสมาชิกรายเดือนการใช้บริการสัญญาณเคเบิ้ลทีวี ระบบจานดาวเทียม DSTV ประจำเดือนธันวาคม 2567</t>
  </si>
  <si>
    <t>ค่าไฟฟ้าของ สศค. ประจำเดือน พฤศจิกายน 2567</t>
  </si>
  <si>
    <t>ค่าไฟฟ้า อาคาร 4 อาคารสำนักงบประมาณ (เดิม) ประจำเดือน สิงหาคม และประจำเดือนกันยายน 2567 (กพช.)</t>
  </si>
  <si>
    <t>บก.125/68</t>
  </si>
  <si>
    <t>บก.126/68</t>
  </si>
  <si>
    <t>บก.127/68</t>
  </si>
  <si>
    <t>ฎ.249/3100000455</t>
  </si>
  <si>
    <t>ฎ.253/3100000458</t>
  </si>
  <si>
    <t>ฎ.254/3100000459</t>
  </si>
  <si>
    <t>ค่าพาหนะเดินทางในประเทศ ในการเข้าร่วมประชุมคณะทำงานภายใต้กรอบการประชุมรัฐมนตรีว่าการกระทรวงการคลัง
และผู้ว่าการธนาคารกลางอาเซียน+3 ครั้งที่ 1 ระหว่างวันที่ 14-15 ม.ค.68 ณ เกาะลังกาวี มาเลเซีย (นางสาวพรรณวดี ทุมโฆสิต)</t>
  </si>
  <si>
    <t>บก.128/68</t>
  </si>
  <si>
    <t>ค่าเบี้ยประชุม ในการประชุมคณะอนุกรรมการพิจารณากลั่นกรองวินิจฉัยภาษีที่ดินและสิ่งปลูกสร้าง ครั้งที่ 1/2568 โดยผ่านสื่ออิเล็กืทรอนิกส์ (22 ม.ค.68)</t>
  </si>
  <si>
    <t>บก.129/68</t>
  </si>
  <si>
    <t>ค่าเช่าหม้อแปลงไฟฟ้าชั่วคราวเป็นระยะเวลา 3 เดือน (1 ม.ค. - 31 มี.ค. 68)</t>
  </si>
  <si>
    <t>กกง.3235</t>
  </si>
  <si>
    <t>ค่าพาหนะเดินทางในประเทศ ในการเข้าร่วมลงพื้นที่ติดตาม ตรวจเยี่ยมโครงการตามมารตรการรักษาเสถียรภาพราคาข้าวเปลือก ปีการผลิต 2567/68 ระหว่างวันที่ 9-10 ม.ค.68 ณ จังหวัดสุรินทร์</t>
  </si>
  <si>
    <t>บก.130/68</t>
  </si>
  <si>
    <t>บก.131/68</t>
  </si>
  <si>
    <t>ค่าซื้อหมึกสำหรับเครื่องพิมพ์เลเซอร์ (หมึกของแท้ Original) จำนวน 15 กล่อง</t>
  </si>
  <si>
    <t>บก.132/68</t>
  </si>
  <si>
    <t>ค่าตอบแทนการปฏิบัติงานนอกเวลาราชการ ระหว่างวันที่ 1 - 31 มกราคม 2568</t>
  </si>
  <si>
    <t>บก.133/68</t>
  </si>
  <si>
    <t xml:space="preserve"> - ค่าจ้างบริการจัดเก็บรักษาเอกสาร</t>
  </si>
  <si>
    <t>ใบสั่งซื้อ/สั่งจ้าง</t>
  </si>
  <si>
    <t>ฎ.269/68</t>
  </si>
  <si>
    <t>ฎ.266/68</t>
  </si>
  <si>
    <t>ฎ.268/68</t>
  </si>
  <si>
    <t>ฎ.270/68</t>
  </si>
  <si>
    <t>ฎ.271/68</t>
  </si>
  <si>
    <t>ฎ.273/68</t>
  </si>
  <si>
    <t>ฎ.274/68</t>
  </si>
  <si>
    <t>ฎ.275/68</t>
  </si>
  <si>
    <t>ฎ.276/68</t>
  </si>
  <si>
    <t>ฎ.277/68</t>
  </si>
  <si>
    <t>ฎ.278/68</t>
  </si>
  <si>
    <t>ฎ.279/68</t>
  </si>
  <si>
    <t>ฎ.281/68</t>
  </si>
  <si>
    <t>ฎ.282/68</t>
  </si>
  <si>
    <t>ฎ.283/68</t>
  </si>
  <si>
    <t>ฎ.285/68</t>
  </si>
  <si>
    <t>ฎ.286/68</t>
  </si>
  <si>
    <t>ฎ.287/68</t>
  </si>
  <si>
    <t>ฎ.288/68</t>
  </si>
  <si>
    <t>ฎ.289/68</t>
  </si>
  <si>
    <t>ฎ.291/68</t>
  </si>
  <si>
    <t>ฎ.292/68</t>
  </si>
  <si>
    <t>ฎ.296/68</t>
  </si>
  <si>
    <t>ฎ.297/68</t>
  </si>
  <si>
    <t>ฎ.298/68</t>
  </si>
  <si>
    <t>ฎ.300/68</t>
  </si>
  <si>
    <t>ฎ.301/68</t>
  </si>
  <si>
    <t>ฎ.302/68</t>
  </si>
  <si>
    <t>ฎ.304/68</t>
  </si>
  <si>
    <t>ฎ.305/68</t>
  </si>
  <si>
    <t>ฎ.306/68</t>
  </si>
  <si>
    <t>ฎ.307/68</t>
  </si>
  <si>
    <t>ฎ.308/68</t>
  </si>
  <si>
    <t>ฎ.311/68</t>
  </si>
  <si>
    <t>ฎ.315/68</t>
  </si>
  <si>
    <t>ฎ.317/68</t>
  </si>
  <si>
    <t>ฎ.318/68</t>
  </si>
  <si>
    <t>ฎ.320/68</t>
  </si>
  <si>
    <t>ฎ.321/68</t>
  </si>
  <si>
    <t>ฎ.322/68</t>
  </si>
  <si>
    <t>ฎ.323/68</t>
  </si>
  <si>
    <t>ฎ.325/68</t>
  </si>
  <si>
    <t>ฎ.326/68</t>
  </si>
  <si>
    <t>ฎ.328/68</t>
  </si>
  <si>
    <t>ฎ.327/68</t>
  </si>
  <si>
    <t>ฎ.329/68</t>
  </si>
  <si>
    <t>ฎ.330/68</t>
  </si>
  <si>
    <t>ฎ.331/68</t>
  </si>
  <si>
    <t>ฎ.332/68</t>
  </si>
  <si>
    <t>ฎ.333/68</t>
  </si>
  <si>
    <t>ฎ.334/68</t>
  </si>
  <si>
    <t>ฎ.335/68</t>
  </si>
  <si>
    <t>ฎ.336/68</t>
  </si>
  <si>
    <t>ฎ.337/68</t>
  </si>
  <si>
    <t>ฎ.338/68</t>
  </si>
  <si>
    <t>ฎ.339/68</t>
  </si>
  <si>
    <t>ฎ.340/68</t>
  </si>
  <si>
    <t>ฎ.341/68</t>
  </si>
  <si>
    <t>ฎ.344/68</t>
  </si>
  <si>
    <t>ฎ.347/68</t>
  </si>
  <si>
    <t>ฎ.348/68</t>
  </si>
  <si>
    <t>ฎ.349/68</t>
  </si>
  <si>
    <t>ฎ.350/68</t>
  </si>
  <si>
    <t>ฎ.351/68</t>
  </si>
  <si>
    <t>ฎ.352/68</t>
  </si>
  <si>
    <t>ฎ.353/68</t>
  </si>
  <si>
    <t>ฎ.354/68</t>
  </si>
  <si>
    <t>ฎ.355/68</t>
  </si>
  <si>
    <t>ฎ.356/68</t>
  </si>
  <si>
    <t>ฎ.357/68</t>
  </si>
  <si>
    <t>ฎ.358/68</t>
  </si>
  <si>
    <t>ฎ.359/68</t>
  </si>
  <si>
    <t>ฎ.360/68</t>
  </si>
  <si>
    <t>ฎ.362/68</t>
  </si>
  <si>
    <t>ฎ.363/68</t>
  </si>
  <si>
    <t>ฎ.365/68</t>
  </si>
  <si>
    <t>ฎ.366/68</t>
  </si>
  <si>
    <t>ณ 31 ม.ค. 68</t>
  </si>
  <si>
    <t>ฎ.290/68</t>
  </si>
  <si>
    <t>19/11/2024
22/01/2025</t>
  </si>
  <si>
    <t>ฎ.128/3200000013
ฎ.377/3200000023</t>
  </si>
  <si>
    <t>ฎ.231/3100000419
ฎ.298/3100000532
ฎ.358/3100000612</t>
  </si>
  <si>
    <t>ฎ.351/3100000607</t>
  </si>
  <si>
    <t>ฎ.296/3100000530
ฎ.357/3100000611</t>
  </si>
  <si>
    <t>ฎ.333/3100000421
ฎ.281/3100000490
ฎ.366/3100000618</t>
  </si>
  <si>
    <t>20/12/2567
06/01/2568
30/01/2568</t>
  </si>
  <si>
    <t>10/01/2568
27/01/2568</t>
  </si>
  <si>
    <t>19/12/2567
13/01/2568
27/01/2568</t>
  </si>
  <si>
    <t>ฎ.359/3100000613</t>
  </si>
  <si>
    <t>ฎ.360/3100000614</t>
  </si>
  <si>
    <t>ฎ.341/3600000319</t>
  </si>
  <si>
    <t>ฎ.340/3600000318</t>
  </si>
  <si>
    <t>22/11/2567
20/12/2567
20/01/2568</t>
  </si>
  <si>
    <t>ฎ.153/3100000273
ฎ.334/3100000422
ฎ.330/3100000562</t>
  </si>
  <si>
    <t>ฎ.363/3100000616</t>
  </si>
  <si>
    <t>28/11/2567
20/12/2567
20/01/2568</t>
  </si>
  <si>
    <t>ฎ.165/3100000313
ฎ.235/3100000423
ฎ.329/3100000561</t>
  </si>
  <si>
    <t>ฎ.276/3600000261</t>
  </si>
  <si>
    <t>ฎ.277/3600000262</t>
  </si>
  <si>
    <t>ฎ.285/3600000269</t>
  </si>
  <si>
    <t>06/01/2568
24/01/2568</t>
  </si>
  <si>
    <t>ฎ.282/3100000491
ฎ.350/3100000606</t>
  </si>
  <si>
    <t>ฎ.307/3600000295</t>
  </si>
  <si>
    <t>ฎ.278/3600000263</t>
  </si>
  <si>
    <t>ฎ.279/3600000264</t>
  </si>
  <si>
    <t>ฎ.273/3600000258</t>
  </si>
  <si>
    <t>ฎ.308/3600000296</t>
  </si>
  <si>
    <t>ฎ.238/3600000234</t>
  </si>
  <si>
    <t>ฎ.305/3600000293</t>
  </si>
  <si>
    <t>ฎ.306/3600000294
ฎ.355/3600000327</t>
  </si>
  <si>
    <t>15/01/2568
27/01/2568</t>
  </si>
  <si>
    <t>ฎ.275/3600000260</t>
  </si>
  <si>
    <t>ฎ.292/3100000495</t>
  </si>
  <si>
    <t>ฎ.232/3100000420</t>
  </si>
  <si>
    <t>ฎ.239/3600000235</t>
  </si>
  <si>
    <t>ฎ.287/3600000270</t>
  </si>
  <si>
    <t>ฎ.291/3100000494</t>
  </si>
  <si>
    <t>ฎ.236/3600000232</t>
  </si>
  <si>
    <t>ฎ.237/3600000233</t>
  </si>
  <si>
    <t>ฎ.356/3600000328</t>
  </si>
  <si>
    <t>ฎ.300/3100000534</t>
  </si>
  <si>
    <t>ฎ.112/3100000563</t>
  </si>
  <si>
    <t>ฎ.266/3600000465</t>
  </si>
  <si>
    <t>ฎ.283/3100000492</t>
  </si>
  <si>
    <t>ฎ.289/3600000272</t>
  </si>
  <si>
    <t>ฎ.297/3100000531</t>
  </si>
  <si>
    <t>ฎ.327/3100000559</t>
  </si>
  <si>
    <t>ฎ.268/3100000466</t>
  </si>
  <si>
    <t>ฎ.274/3600000259</t>
  </si>
  <si>
    <t>ฎ.339/3600000317</t>
  </si>
  <si>
    <t>ฎ.311/3100000535</t>
  </si>
  <si>
    <t>ค่าพาหนะเดินทางในประเทศ ในการเข้าร่วมประชุม Asian Financial Forum ครั้งที่ 18 และการประชุมอื่นที่เกี่ยวข้อง (AFF) 13-14 ม.ค.68
ณ เขตบริหารพิเศษฮ่องกง</t>
  </si>
  <si>
    <t>กศร.3301</t>
  </si>
  <si>
    <t>บก.134/68</t>
  </si>
  <si>
    <t xml:space="preserve">ค่าเช่าบริการเชื่อมต่ออินเทอร์เน็ต ประจำปีงบประมาณ พ.ศ.2568 ระยะเวลา 12 เดือน (1 ต.ค.67-30 ก.ย.68) </t>
  </si>
  <si>
    <t>ศทส.3719</t>
  </si>
  <si>
    <t>บก.135/68</t>
  </si>
  <si>
    <t>ฎ.334/3100000566</t>
  </si>
  <si>
    <t xml:space="preserve">ค่าอาหารว่างและเครื่องดื่ม ในการจัดประชุมคณะกรรมการกลั่นกรองการดำเนินการตามเงื่อนไขหลักของกรอบการสั่งสมประสบการณ์ของข้าราชการ
ผู้มีผลสัมฤทธิ์สูง ระดับกรม ครั้งที่ 1/2567 ( 6 ธ.ค.67) </t>
  </si>
  <si>
    <t>บก.136/68</t>
  </si>
  <si>
    <t>ยืมเงินค่าผ่านทางพิเศษ ระหว่างวันที่ 2-15 ม.ค.68 (นายทศพล เตชะธนะวัฒน์)</t>
  </si>
  <si>
    <t>บก.137/68</t>
  </si>
  <si>
    <t>ค่าตอบแทนการปฏิบัติงานนอกเวลาราชการ ระหว่างวันที่ 3-31 ม.ค.68</t>
  </si>
  <si>
    <t>สบท. 021697127-36 ต่อ 158</t>
  </si>
  <si>
    <t>บก.138/68</t>
  </si>
  <si>
    <t>ค่าจ้างซ่อมเครื่องสำรองไฟ (กอล.) เลขที่ครุภัณฑ์ สศค.60402-1018</t>
  </si>
  <si>
    <t>ค่าจ้างซ่อมเครื่องคอมพิวเตอร์ ยี่ห้อ DELL (กศร.) เลขที่ครุภัณฑ์ สศค. 60401-1762</t>
  </si>
  <si>
    <t>บก.139/68</t>
  </si>
  <si>
    <t>บก.140/68</t>
  </si>
  <si>
    <t>ฎ.326/3100000558</t>
  </si>
  <si>
    <t>ฎ.365/3100000617</t>
  </si>
  <si>
    <t>ค่าอาหารว่างและเครื่องดื่ม ในการประชุมคณะกรรมการดำเนินการคัดเลือกจากบัญชีผู้สอบแข่งขันได้ในตำแหน่งนวก.ตรวจสอบภายในไปขึ้นบัญชี
ในตำแหน่งนวก.การเงินและบัญชีของสศค. 6 ม.ค.68</t>
  </si>
  <si>
    <t>บก.141/68</t>
  </si>
  <si>
    <t>ค่าจ้างทำป้ายชื่อผู้อำนวยการ กกม. จำนวน 1 ป้าย</t>
  </si>
  <si>
    <t>บก.142/68</t>
  </si>
  <si>
    <t>ฎ.347/3600000324</t>
  </si>
  <si>
    <t>สบพ. 0857680189</t>
  </si>
  <si>
    <t>บก.143/68</t>
  </si>
  <si>
    <t>การประชุมหารือสำหรับเตรียมความพร้อมในด้านสถานที่ประชุมสำหรับการเป็นเจ้าภาพจัดการประชุม WB &amp; IMF 
ปี 2569 ของประเทศไทย (ค่าจ้างเหมาบริการยานพาหนะ ค่ารับรองอาหารกลางวัน)</t>
  </si>
  <si>
    <t>ฎ.344/3600000321 เงินยืม</t>
  </si>
  <si>
    <t>บก.144/68</t>
  </si>
  <si>
    <t>ค่าใช้จ่ายในการจัดกิจกรรมภายใต้โครงการเสริมสร้างความรู้ความเข้าใจ เรื่องการคุ้มครองเงินฝาก 
และคุ้มครองผู้ใช้บริการทางการเงินให้กับประชาชน ภาคธุรกิจ และองค์กรปกครองส่วนท้องถิ่น ครั้งที่ 2/2568 
ระหว่างวันที่29-31 ม.ค.68 จ.ชลบุรี</t>
  </si>
  <si>
    <t>ค่าตอบแทนการปฏิบัติงานนอกเวลาราชการ ระหว่างวันที่ 1-31 ธ.ค.67</t>
  </si>
  <si>
    <t>ค่าตอบแทนการปฏิบัติงานนอกเวลาราชการ ระหว่างวันที่ 1-31 ม.ค.68</t>
  </si>
  <si>
    <t>ฎ.288/3600000271</t>
  </si>
  <si>
    <t>บก.145/68</t>
  </si>
  <si>
    <t>บก.146/68</t>
  </si>
  <si>
    <t>ค่าธรรมเนียมเลขหมายโทรศัพท์แบบสั้น 4 หลักของหมายเลข 1359 (รอบการใช้ 1 ม.ค. - 31 ธ.ค. 2568)</t>
  </si>
  <si>
    <t>ฎ.286/3200000021</t>
  </si>
  <si>
    <t>บก.147/68</t>
  </si>
  <si>
    <t>ค่าใช้จ่ายในการลงพื้นที่ตรวจการดำเนินกิจการประกอบธุรกิจสินเชื่อรายย่อยระดับจังหวัดภายใต้การกำกับ 
(สินเชื่อไฟแนนซ์) ครั้งที่ 2/2568 ระหว่างวันที่ 22-24 ม.ค.68 ณ จ.สระบุรี จ.นครราชสีมา และจ.ชัยภูมิ</t>
  </si>
  <si>
    <t>บก.148/68</t>
  </si>
  <si>
    <t>ฎ.304/3600000292 เงินยืม</t>
  </si>
  <si>
    <t>ค่าอาหารว่างและเครื่องดื่ม และค่าเบี้ยประชุม ในการประชุมคณะกรรมการระดับชาติเพื่อเตรียมการจัดประชุมประจำปีสภาผู้ว่าการธนาคารโลก และกองทุนการเงินระหว่างประเทศ ปี 25699 ครั้งที่ 1/2568</t>
  </si>
  <si>
    <t>บก.153/68</t>
  </si>
  <si>
    <t>ฎ.318/3600000310 เงินยืม</t>
  </si>
  <si>
    <t>กศม.3223</t>
  </si>
  <si>
    <t>ค่าอาหารว่างและเครื่องดื่มในการประชุุมเพื่อหารือเกี่ยวกับสถานการณ์ทางเศรษฐกิจ ครั้งที่ 4/2568 27 ม.ค.67</t>
  </si>
  <si>
    <t>ค่าจ้างเหมาบริการบำรุงรักษาและซ่อมแซมแก้ไขระบบเครื่องกำเนิดกระแสไฟฟ้า ปีงบประมาณ พ.ศ. 2568 ระยะเวลา 9 เดือน 1 ม.ค.-30 ก.ย.68</t>
  </si>
  <si>
    <t>ค่าจ้างซ่อมบำรุงรักษาและซ่อมแซมแก้ไขอุปกรณ์ห้องปฏิบัติการคอมพิวเตอร์ 
เป็นระยะเวลา 6 เดือน 1 ม.ค.-30 มิ.ย.68</t>
  </si>
  <si>
    <t>ค่าจ้างบำรุงรักษาระบบจดหมายอิเล็กทรอนิกส์ (FPO Mail) และการซ่อมบำรุงรักษาเว็บไซต์สำนักงานเศรษฐกิจการคลัง ระยะเวลา 9 เดือน 
1 ม.ค.-30 ก.ย..68</t>
  </si>
  <si>
    <t>บก.149/68</t>
  </si>
  <si>
    <t>บก.150/68</t>
  </si>
  <si>
    <t>บก.151/68</t>
  </si>
  <si>
    <t>บก.152/68</t>
  </si>
  <si>
    <t>ค่าซื้อกล่องใส่น้ำยาทำความสะอาดฝารองนั่งสุขภัณฑ์ และน้ำยาทำความสะอาดฝารองนั่งสุขภัณฑ์</t>
  </si>
  <si>
    <t>บก.154/68</t>
  </si>
  <si>
    <t>ฎ.349/3100000605</t>
  </si>
  <si>
    <t>ค่าอาหารว่างและเครื่องดื่ม ในการประชุมหารือเพื่อเตรียมความพร้อมในการจัดตั้งสถาบันค้ำประกันเครดิตแห่งชาติ 15 ม.ค.68</t>
  </si>
  <si>
    <t>ฎ.338/3600000316</t>
  </si>
  <si>
    <t>ค่าใช้จ่ายในการจัดกิจกรรมสร้างความรู้ความเข้าใจด้านการบริหารจัดการทางการเงินและการคุ้มครองเงินฝาก 
23 ม.ค.68 ณ รร.สันติราษฎร์วิทยาลัย</t>
  </si>
  <si>
    <t>บก.156/68</t>
  </si>
  <si>
    <t>ฎ.317/3600000309</t>
  </si>
  <si>
    <t>สบพ. 0809983454</t>
  </si>
  <si>
    <t>ค่าซื้อเมาส์และคีย์บอร์ดไร้สาย จำนวน 5 ชุด</t>
  </si>
  <si>
    <t>บก.157/68</t>
  </si>
  <si>
    <t>ฎ.352/3100000608</t>
  </si>
  <si>
    <t>ค่าจ้างซ่อมแซมบำรุงรักษาเครื่องปรับอากาศ (กพช. ชั้น 4 และ สำนักงานรัฐมนตรีกระทรวงการคลัง อาคารสำนักงานปลัดกระทรวงการคลัง ชั้น 4)</t>
  </si>
  <si>
    <t>ยืมเงินค่าผ่านทางพิเศษ ระหว่างวันที่ 16-31 มกราคม 2568</t>
  </si>
  <si>
    <t>บก.155/68</t>
  </si>
  <si>
    <t>บก.158/68</t>
  </si>
  <si>
    <t>บก.159/68</t>
  </si>
  <si>
    <t>ฎ.328/3100000560</t>
  </si>
  <si>
    <t>-</t>
  </si>
  <si>
    <t>ค่าบำรุงรักษาซ่อมแซมครุภัณฑ์</t>
  </si>
  <si>
    <t>ศทส.3714</t>
  </si>
  <si>
    <t>ค่าตอบแทนคณะกรรมการ การประชุมคณะกรรมการจัดทำร่างขอบเขตของงาน (Terms of Reference : TOR) และกำหนดราคากลางสำหรับโครงการปรับปรุงประสิทธิภาพการบริหารจัดการเว็บไซต์ของสำนักงานเศรษฐกิจการคลัง ครั้งที่ 1/2567 ในวันพฤหัสบดีที่ 26 ธ..ค. 67</t>
  </si>
  <si>
    <t>ค่าตอบแทนคณะกรรมการ การประชุมคณะกรรมการจัดทำร่างขอบเขตของงาน (Terms of Reference : TOR) และกำหนดราคากลางสำหรับโครงการปรับปรุงประสิทธิภาพการบริหารจัดการเว็บไซต์ของสำนักงานเศรษฐกิจการคลัง ครั้งที่ 1/2568 ในวันพฤหัสบดีที่ 9 ม.ค.68</t>
  </si>
  <si>
    <t>ค่าตอบแทนคณะกรรมการ การประชุมคณะกรรมการจัดทำร่างขอบเขตของงาน (Terms of Reference : TOR) และกำหนดราคากลางสำหรับโครงการปรับปรุงประสิทธิภาพการบริหารจัดการเว็บไซต์ของสำนักงานเศรษฐกิจการคลัง ครั้งที่ 2/2568 ในวันศุกร์ที่ 17 ม.ค.68</t>
  </si>
  <si>
    <t>บก.160/68</t>
  </si>
  <si>
    <t>บก.161/68</t>
  </si>
  <si>
    <t>บก.162/68</t>
  </si>
  <si>
    <t xml:space="preserve">ค่าอาหารว่างและเครื่องดื่ม ในการประชุมเพื่อนำเสนอรายละเอียดของโครงการแพลตฟอร์มการชำระเงิน 22 ม.ค.68 </t>
  </si>
  <si>
    <t>บก.163/68</t>
  </si>
  <si>
    <t>ค่าธรรมเนียมธนาคารในการขอแลกเปลี่ยนเช็คเงินตราต่างประเทศเป็นเงินบาท เพื่อนำส่งเงินเหลือจ่ายของปีงบประมาณ พ.ศ.2567 สำหรับการประชาสัมพันธ์การเป็นเจ้าภาพจัดการประชุมประจำปีสภาผู้ว่าการธนาคารโลกและกองทุนการเงินระหว่างประเทศปี 2569 ของสนง.ที่ปรึกษาฯ ประจำกรุงวอชิงตัน</t>
  </si>
  <si>
    <t>กนภ.3548</t>
  </si>
  <si>
    <t>ฎ.322/3600000314</t>
  </si>
  <si>
    <t>บก.165/68</t>
  </si>
  <si>
    <t>ค่าบริการฝากส่งสิ่งของทางไปรษณีย์ ประจำเดือน ธันวาคม 2567</t>
  </si>
  <si>
    <t>บก.164/68</t>
  </si>
  <si>
    <t>ฎ.325/3100000557</t>
  </si>
  <si>
    <t>สบท.02169712736ต่อ160</t>
  </si>
  <si>
    <t>ค่าตอบแทนกรรมการออกข้อสอบประเมินความรู้ความสามารถ ทักษะ และสมรรถนะ ครั้งที่ 1 (สอบข้อเขียน) และ ครั้งที่ 2 (สอบสัมภาษณ์ เพื่อสรรหาและเลือกสรรเป็นพนักงานราชการทั่วไปในตำแหน่งนิติกร (ปริญญาตรี)</t>
  </si>
  <si>
    <t>บก.166/68</t>
  </si>
  <si>
    <t>ฎ.321/3600000313</t>
  </si>
  <si>
    <t>สบพ.0614689013</t>
  </si>
  <si>
    <t>ค่าจัดซื้อน้ำมันเชื้อเพลิงเพื่อใช้สำหรับรถราชการ จำนวน 16 คัน (ระหว่างวันที่ 
1 ม.ค. 68 - 30 ก.ย. 68 ระยะเวลา 9 เดือน โดยใช้บัตรเติมน้ำมันรถราชการ (Fleet Card)</t>
  </si>
  <si>
    <t>บก.167/68</t>
  </si>
  <si>
    <t>สบพ.022739098</t>
  </si>
  <si>
    <t>ค่าจ้างทำตรายาง จำนวน 3 รายการ</t>
  </si>
  <si>
    <t>บก.169/68</t>
  </si>
  <si>
    <t>ฎ 362/3600000615</t>
  </si>
  <si>
    <t>กอล.3640</t>
  </si>
  <si>
    <t>ค่าพาหนะเดินทางในประเทศ ในการประชุมคณะทำงานเพื่อพัฒนาตลาดทุนอาเซียน (ASEAN Working Committee on Capital Market Development (WC-CMD)) และการประชุมอื่นที่เกี่ยวข้อง ระหว่างวันที่ 16-18 ก.พ. 68 ณ เมืองปีนัง สหพันธรัฐมาเลเซีย</t>
  </si>
  <si>
    <t>บก.168/68</t>
  </si>
  <si>
    <t>ค่าอาหารว่างและเครื่องดื่ม ในการประชุมคณะกรรมการคัดเลือกบุคคลเพื่อเสนอเป็นข้าราชการพลเรือนดีเด่น ประจำปี พ.ศ.2567 24 ม.ค.68</t>
  </si>
  <si>
    <t>บก.170/68</t>
  </si>
  <si>
    <t>ค่าสมาชิกรายเดือนการใช้บริการสัญญาณเคเบิ้ลทีวี ระบบจานดาวเทียม DSTV ประจำเดือนมกราคม 2568</t>
  </si>
  <si>
    <t>ค่าไฟฟ้าของ สศค. ประจำเดือน ธันวาคม 2567</t>
  </si>
  <si>
    <t>บก.171/68</t>
  </si>
  <si>
    <t>บก.172/68</t>
  </si>
  <si>
    <t>ฎ.336/3100000568</t>
  </si>
  <si>
    <t>ฎ.335/3100000567</t>
  </si>
  <si>
    <t>กพบ.3359</t>
  </si>
  <si>
    <t>บก.173/68</t>
  </si>
  <si>
    <t>ค่าอาหารว่างและเครื่องดื่ม ในการประชุมคณะทำงานบริหารจัดการความเสี่ยง ของสำนักงานเศรษฐกิจการคลัง ครั้งที่ 1/2568 
ในวันพฤหัสบดีที่ 30 มกราคม 2568</t>
  </si>
  <si>
    <t>ค่าใช้จ่ายในการจัดกิจกรรมเสริมสร้างความรู้ความเข้าใจด้านการบริหารจัดการทางการเงินและการคุ้มครองเงินฝาก ภายใต้โครงการเสริมสร้างความรู้ความเข้าใจ เรื่องการคุ้มครองเงินฝากฯ ณ รร.เตรียมอุดมศึกษาพัฒนาการ เขตสวนหลวง กรุงเทพมหานคร ในวันอังคารที่ 11 ก.พ.68</t>
  </si>
  <si>
    <t>บก.174/68</t>
  </si>
  <si>
    <t>ค่าตอบแทนการปฏิบัติงานนอกเวลาราชการ ประจำเดือน ธันวาคม 2567 (เพิ่มเติม จากใบกันที่ 92/68)</t>
  </si>
  <si>
    <t>ฎ.348/3600000325</t>
  </si>
  <si>
    <t>บก.175/68</t>
  </si>
  <si>
    <t>ค่าอาหารว่างและเครื่องดื่ม ในการประเมินความเหมาะสมกับตำแหน่งนักวิชาการเงินและบัญชีปฏิบัติการ (สัมภาษณ์) ในวันจันทร์ที่ 27 มกราคม 2568</t>
  </si>
  <si>
    <t>ค่าซ่อมแซมบำรุงรักษาเครื่องปรับอากาศ จำนวน 1 เครื่อง เลขที่ครุภัณฑ์ สป4/ป005/54 ห้องทำงานส่วนบริหารพัสดุ บริเวณชั้น 4 อาคารสป.กค.</t>
  </si>
  <si>
    <t>บก.176/68</t>
  </si>
  <si>
    <t>บก.177/68</t>
  </si>
  <si>
    <t>ค่าเบี้ยประชุม คณะกรรมการจัดทำร่างขอบเขตของงาน และกำหนดราคากลางสำหรับค่าจ้างออกแบบโครงการปรับปรุงอาคารสำนักงานเศรษฐกิจการคลัง ครั้งที่ 1/2567 ( 25 พ.ย.67)</t>
  </si>
  <si>
    <t>ค่าเบี้ยประชุม คณะกรรมการจัดทำร่างขอบเขตของงาน และกำหนดราคากลางสำหรับค่าจ้างออกแบบโครงการปรับปรุงอาคารสำนักงานเศรษฐกิจการคลัง ครั้งที่ 1/2568 ( 27 ม.ค.68)</t>
  </si>
  <si>
    <t>บก.178/68</t>
  </si>
  <si>
    <t>บก.179/68</t>
  </si>
  <si>
    <t>สบพ. 022739020</t>
  </si>
  <si>
    <t>ค่าซ่อมเครื่องพิมพ์เลเซอร์สี จำนวน 2 เครื่อง สศค. 60411-0632 และ สศค. 60411-0633</t>
  </si>
  <si>
    <t>บก.180/68</t>
  </si>
  <si>
    <t>กศม. 3272</t>
  </si>
  <si>
    <t>ค่าจัดซื้อระบบฐานข้อมูลและข่าวสาร Bloomberg เป็นระยะเวลา 12 เดือน (1 ต.ค. 2567 - 30 ก.ย. 2568)</t>
  </si>
  <si>
    <t>ค่าจ้างต่ออายุสมาชิกบริการระบบฐานข้อมูล CEIC เป็นระยะเวลา 12 เดือน (1 ต.ค.67 - 30 ก.ย.68) 
ชำระค่าจ้างเป็นรายเดือน หลังจากตรวจรับแล้ว ทั้งหมด 12 งวด (เท่า ๆ กัน)</t>
  </si>
  <si>
    <t>บก.181/68</t>
  </si>
  <si>
    <t>บก.182/68</t>
  </si>
  <si>
    <t>สบท.02169712736ต่อ157</t>
  </si>
  <si>
    <t>ค่าตอบแทนกรรมการผู้อ่าน ตรวจและประเมินผลงานวิชาการ เพื่อเลื่อนขั้นข้าราชการ สำนักงานเลขานุการกรม 
ราย นางสาวติณณ์ชยุตา อุทัยสมบูรณ์สุข ในวันพฤหัสบดีที่ 31 ม.ค. 68</t>
  </si>
  <si>
    <t>บก.183/68</t>
  </si>
  <si>
    <t>ค่าอาหารว่างและเครื่องดื่ม ในการประเมินผลงานวิชาการ เพื่อเลื่อนขั้นข้าราชการ สำนักงานเลขานุการกรม ราย นางสาวติณณ์ชยุตา อุทัยสมบูรณ์สุข ในวันพฤหัสบดีที่ 31 ม.ค. 68</t>
  </si>
  <si>
    <t>ค่าจ้างทำความสะอาดอาคารและดูแลบำรุงรักษาต้นไม้และสวนหย่อมของสำนักงานเศรษฐกิจการคลัง เป็นระยะเวลา 12 เดือน (1 ต.ค.67 - 30 ก.ย.68)</t>
  </si>
  <si>
    <t>ยืมเงินค่าผ่านทางพิเศษ ระหว่างวันที่ 1-15 กุมภาพันธ์ 2568</t>
  </si>
  <si>
    <t>ค่าพาหนะเดินทางในประเทศ ในการประชุมคณะกรรมการร่วมความตกลงการค้าสินค้าอาเซียน-อินเดีย ครั้งที่ 7 และการประชุมคณะอนุกรรมการที่เกี่ยวข้อง ระกหว่างวันที่ 11-15 ก.พ.68 ณ กรุงจาการ์ตา สาธารณรัฐอินโดนีเซีย</t>
  </si>
  <si>
    <t>บก.185/68</t>
  </si>
  <si>
    <t>บก.186/68</t>
  </si>
  <si>
    <t>บก.187/68</t>
  </si>
  <si>
    <t>สบพ</t>
  </si>
  <si>
    <t>บก.184/68</t>
  </si>
  <si>
    <t>ค่าเบี้ยประชุม คณะกรรมการจัดทำร่างคุณลักษณะเฉพาะของพัสดุ และกำหนดราคากลาง สำหรับค่าเช่ารถยนต์
นั่งส่วนกลาง ครั้งที่ 1/2567 2 ธ.ค. 67</t>
  </si>
  <si>
    <t>ค่าตอบแทนคณะกรรมการ ในการประชุมคณะกรรมการการจัดทำร่างรายละเอียดคุณลักษณะเฉพาะของพัสดุ และกำหนดราคากลางสำหรับค่าเช่ารถนั่งส่วนกลาง รถยนต์ไฟฟ้า ฯ ครั้งที่ 2/2567 17 ธ.ค.67</t>
  </si>
  <si>
    <t>บก.188/68</t>
  </si>
  <si>
    <t>กศร.3663</t>
  </si>
  <si>
    <t>ค่าพาหนะเดินทางในประเทศ ในการประชุมคณะทำงานเจ้าหน้าที่อาวุโสกระทรวงการคลังและธนาคารกลางอาเซียน และการประชุมอื่นที่เกี่ยวข้อง ระหว่างวันที่ 17 -21 ก.พ.68 ณ รัฐปีนัง มาเลเซีย</t>
  </si>
  <si>
    <t>สพท.021697127ต่อ165</t>
  </si>
  <si>
    <t>ค่าใช้จ่ายในการฝึกอบรมหลักสูตรโรงเรียนสำนักงานเศรษฐกิจการคลัง ประจำปีงบประมาณ พ.ศ.2568 ระหว่างวันที่ 6 ก.พ.-16 พ.ค.68 (ค่าใช้จ่ายในส่วนของนักศึกษาฝึกงานจำนวน 4 ราย)</t>
  </si>
  <si>
    <t>บก.189/68</t>
  </si>
  <si>
    <t>บก.190/68</t>
  </si>
  <si>
    <t>สบท.021697127 ต่อ158</t>
  </si>
  <si>
    <t>ค่าตอบแทนการปฏิบัติงานนอกเวลาราชการ (1-28 ก.พ.68)</t>
  </si>
  <si>
    <t>บก.191/68</t>
  </si>
  <si>
    <t>ณ วันที่ 31 มกราคม 2568</t>
  </si>
  <si>
    <t>วันที่ : 31 มกราคม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</si>
</sst>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[&lt;=99999999][$-D000000]0\-####\-####;[$-D000000]#\-####\-####"/>
    <numFmt numFmtId="166" formatCode="_(* #,##0_);_(* \(#,##0\);_(* &quot;-&quot;??_);_(@_)"/>
    <numFmt numFmtId="167" formatCode="[$-107041E]d\ mmm\ yy"/>
    <numFmt numFmtId="168" formatCode="_-* #,##0.00_-;\-* #,##0.00_-;_-* &quot;-&quot;??_-;_-@"/>
    <numFmt numFmtId="169" formatCode="dd/mm/yyyy"/>
    <numFmt numFmtId="170" formatCode="dd/mm"/>
    <numFmt numFmtId="171" formatCode="[$-107041E]d\ mmm\ yy;@"/>
  </numFmts>
  <fonts count="51" x14ac:knownFonts="1">
    <font>
      <sz val="11"/>
      <color theme="1"/>
      <name val="Calibri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rgb="FF800080"/>
      <name val="TH SarabunPSK"/>
      <family val="2"/>
    </font>
    <font>
      <b/>
      <sz val="14"/>
      <color rgb="FF333399"/>
      <name val="TH SarabunPSK"/>
      <family val="2"/>
    </font>
    <font>
      <b/>
      <sz val="14"/>
      <color rgb="FFFF0000"/>
      <name val="TH SarabunPSK"/>
      <family val="2"/>
    </font>
    <font>
      <sz val="14"/>
      <color rgb="FF333399"/>
      <name val="TH SarabunPSK"/>
      <family val="2"/>
    </font>
    <font>
      <sz val="14"/>
      <color rgb="FFFF0000"/>
      <name val="TH SarabunPSK"/>
      <family val="2"/>
    </font>
    <font>
      <sz val="14"/>
      <color rgb="FF0070C0"/>
      <name val="TH SarabunPSK"/>
      <family val="2"/>
    </font>
    <font>
      <b/>
      <sz val="14"/>
      <color rgb="FF1F497D"/>
      <name val="TH SarabunPSK"/>
      <family val="2"/>
    </font>
    <font>
      <b/>
      <sz val="14"/>
      <color rgb="FFC00000"/>
      <name val="TH SarabunPSK"/>
      <family val="2"/>
    </font>
    <font>
      <sz val="14"/>
      <color rgb="FF000000"/>
      <name val="TH SarabunPSK"/>
      <family val="2"/>
    </font>
    <font>
      <sz val="14"/>
      <color rgb="FF800080"/>
      <name val="TH SarabunPSK"/>
      <family val="2"/>
    </font>
    <font>
      <sz val="14"/>
      <color rgb="FFC5E0B3"/>
      <name val="TH SarabunPSK"/>
      <family val="2"/>
    </font>
    <font>
      <sz val="14"/>
      <color rgb="FFC55A11"/>
      <name val="TH SarabunPSK"/>
      <family val="2"/>
    </font>
    <font>
      <sz val="14"/>
      <color rgb="FFC00000"/>
      <name val="TH SarabunPSK"/>
      <family val="2"/>
    </font>
    <font>
      <sz val="14"/>
      <name val="TH SarabunPSK"/>
      <family val="2"/>
    </font>
    <font>
      <u/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4"/>
      <color rgb="FF833C0B"/>
      <name val="TH SarabunPSK"/>
      <family val="2"/>
    </font>
    <font>
      <b/>
      <sz val="14"/>
      <color rgb="FF002060"/>
      <name val="TH SarabunPSK"/>
      <family val="2"/>
    </font>
    <font>
      <b/>
      <sz val="14"/>
      <color rgb="FF7030A0"/>
      <name val="TH SarabunPSK"/>
      <family val="2"/>
    </font>
    <font>
      <b/>
      <sz val="14"/>
      <color rgb="FF0000FF"/>
      <name val="TH SarabunPSK"/>
      <family val="2"/>
    </font>
    <font>
      <sz val="14"/>
      <color rgb="FF0000FF"/>
      <name val="TH SarabunPSK"/>
      <family val="2"/>
    </font>
    <font>
      <b/>
      <sz val="14"/>
      <color rgb="FF000000"/>
      <name val="TH SarabunPSK"/>
      <family val="2"/>
    </font>
    <font>
      <sz val="14"/>
      <color rgb="FF1F497D"/>
      <name val="TH SarabunPSK"/>
      <family val="2"/>
    </font>
    <font>
      <b/>
      <sz val="14"/>
      <color rgb="FFC55A11"/>
      <name val="TH SarabunPSK"/>
      <family val="2"/>
    </font>
    <font>
      <i/>
      <sz val="14"/>
      <color rgb="FF1F497D"/>
      <name val="TH SarabunPSK"/>
      <family val="2"/>
    </font>
    <font>
      <sz val="14"/>
      <color rgb="FF00B0F0"/>
      <name val="TH SarabunPSK"/>
      <family val="2"/>
    </font>
    <font>
      <sz val="14"/>
      <color rgb="FF7030A0"/>
      <name val="TH SarabunPSK"/>
      <family val="2"/>
    </font>
    <font>
      <sz val="14"/>
      <color rgb="FF002060"/>
      <name val="TH SarabunPSK"/>
      <family val="2"/>
    </font>
    <font>
      <sz val="14"/>
      <color rgb="FF333F4F"/>
      <name val="TH SarabunPSK"/>
      <family val="2"/>
    </font>
    <font>
      <i/>
      <sz val="14"/>
      <color rgb="FF800080"/>
      <name val="TH SarabunPSK"/>
      <family val="2"/>
    </font>
    <font>
      <b/>
      <sz val="14"/>
      <color rgb="FF660066"/>
      <name val="TH SarabunPSK"/>
      <family val="2"/>
    </font>
    <font>
      <sz val="14"/>
      <color rgb="FF660066"/>
      <name val="TH SarabunPSK"/>
      <family val="2"/>
    </font>
    <font>
      <u/>
      <sz val="14"/>
      <color theme="10"/>
      <name val="TH SarabunPSK"/>
      <family val="2"/>
    </font>
    <font>
      <i/>
      <sz val="14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14"/>
      <name val="TH SarabunPSK"/>
      <family val="2"/>
    </font>
    <font>
      <b/>
      <vertAlign val="superscript"/>
      <sz val="14"/>
      <color theme="1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TH SarabunPSK"/>
      <family val="2"/>
    </font>
    <font>
      <sz val="14"/>
      <color rgb="FF00B050"/>
      <name val="TH SarabunPSK"/>
      <family val="2"/>
    </font>
    <font>
      <b/>
      <sz val="14"/>
      <color rgb="FF00B050"/>
      <name val="TH SarabunPSK"/>
      <family val="2"/>
    </font>
    <font>
      <b/>
      <sz val="14"/>
      <color theme="0" tint="-0.14999847407452621"/>
      <name val="TH SarabunPSK"/>
      <family val="2"/>
    </font>
    <font>
      <b/>
      <sz val="14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sz val="8"/>
      <name val="Calibri"/>
      <family val="2"/>
      <scheme val="minor"/>
    </font>
    <font>
      <b/>
      <sz val="14"/>
      <color rgb="FFFF0000"/>
      <name val="TH SarabunPSK"/>
      <family val="2"/>
      <charset val="222"/>
    </font>
    <font>
      <sz val="14"/>
      <name val="Cordia New"/>
      <family val="2"/>
    </font>
  </fonts>
  <fills count="28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BFBFBF"/>
        <bgColor rgb="FFBFBFBF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theme="0"/>
      </patternFill>
    </fill>
    <fill>
      <patternFill patternType="solid">
        <fgColor rgb="FFADB9CA"/>
        <bgColor rgb="FFADB9CA"/>
      </patternFill>
    </fill>
    <fill>
      <patternFill patternType="solid">
        <fgColor rgb="FFC8C8C8"/>
        <bgColor rgb="FFC8C8C8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  <fill>
      <patternFill patternType="solid">
        <fgColor rgb="FFFEF2CB"/>
        <bgColor rgb="FFFEF2CB"/>
      </patternFill>
    </fill>
    <fill>
      <patternFill patternType="solid">
        <fgColor rgb="FFCCCCFF"/>
        <bgColor rgb="FFCCCCFF"/>
      </patternFill>
    </fill>
    <fill>
      <patternFill patternType="solid">
        <fgColor rgb="FFE2EFD9"/>
        <bgColor rgb="FFE2EFD9"/>
      </patternFill>
    </fill>
    <fill>
      <patternFill patternType="solid">
        <fgColor rgb="FFC0C0C0"/>
        <bgColor rgb="FFC0C0C0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rgb="FFA5A5A5"/>
      </patternFill>
    </fill>
    <fill>
      <patternFill patternType="solid">
        <fgColor theme="5" tint="0.39997558519241921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CCCCCC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n">
        <color rgb="FF000000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37" fillId="0" borderId="0" applyFont="0" applyFill="0" applyBorder="0" applyAlignment="0" applyProtection="0"/>
    <xf numFmtId="164" fontId="50" fillId="0" borderId="27" applyFont="0" applyFill="0" applyBorder="0" applyAlignment="0" applyProtection="0"/>
  </cellStyleXfs>
  <cellXfs count="1230">
    <xf numFmtId="0" fontId="0" fillId="0" borderId="0" xfId="0"/>
    <xf numFmtId="164" fontId="1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4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6" xfId="0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164" fontId="3" fillId="0" borderId="7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vertical="center"/>
    </xf>
    <xf numFmtId="14" fontId="5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164" fontId="2" fillId="0" borderId="7" xfId="0" applyNumberFormat="1" applyFont="1" applyBorder="1" applyAlignment="1">
      <alignment vertical="center"/>
    </xf>
    <xf numFmtId="164" fontId="6" fillId="0" borderId="7" xfId="0" applyNumberFormat="1" applyFont="1" applyBorder="1" applyAlignment="1">
      <alignment vertical="center"/>
    </xf>
    <xf numFmtId="14" fontId="2" fillId="0" borderId="7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left" vertical="top"/>
    </xf>
    <xf numFmtId="0" fontId="2" fillId="0" borderId="0" xfId="0" applyFont="1" applyAlignment="1">
      <alignment vertical="top" wrapText="1"/>
    </xf>
    <xf numFmtId="164" fontId="2" fillId="0" borderId="7" xfId="0" applyNumberFormat="1" applyFont="1" applyBorder="1" applyAlignment="1">
      <alignment vertical="top"/>
    </xf>
    <xf numFmtId="164" fontId="6" fillId="0" borderId="7" xfId="0" applyNumberFormat="1" applyFont="1" applyBorder="1" applyAlignment="1">
      <alignment vertical="top"/>
    </xf>
    <xf numFmtId="164" fontId="2" fillId="0" borderId="0" xfId="0" applyNumberFormat="1" applyFont="1" applyAlignment="1">
      <alignment vertical="top"/>
    </xf>
    <xf numFmtId="0" fontId="7" fillId="0" borderId="0" xfId="0" applyFont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164" fontId="7" fillId="0" borderId="0" xfId="0" applyNumberFormat="1" applyFont="1" applyAlignment="1">
      <alignment vertical="top"/>
    </xf>
    <xf numFmtId="14" fontId="2" fillId="0" borderId="9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164" fontId="2" fillId="0" borderId="9" xfId="0" applyNumberFormat="1" applyFont="1" applyBorder="1" applyAlignment="1">
      <alignment vertical="top"/>
    </xf>
    <xf numFmtId="164" fontId="6" fillId="0" borderId="9" xfId="0" applyNumberFormat="1" applyFont="1" applyBorder="1" applyAlignment="1">
      <alignment vertical="top"/>
    </xf>
    <xf numFmtId="14" fontId="1" fillId="2" borderId="11" xfId="0" applyNumberFormat="1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vertical="top"/>
    </xf>
    <xf numFmtId="164" fontId="1" fillId="2" borderId="12" xfId="0" applyNumberFormat="1" applyFont="1" applyFill="1" applyBorder="1" applyAlignment="1">
      <alignment vertical="top"/>
    </xf>
    <xf numFmtId="164" fontId="1" fillId="2" borderId="11" xfId="0" applyNumberFormat="1" applyFont="1" applyFill="1" applyBorder="1" applyAlignment="1">
      <alignment vertical="top"/>
    </xf>
    <xf numFmtId="164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14" fontId="1" fillId="2" borderId="13" xfId="0" applyNumberFormat="1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left" vertical="top"/>
    </xf>
    <xf numFmtId="0" fontId="1" fillId="2" borderId="13" xfId="0" applyFont="1" applyFill="1" applyBorder="1" applyAlignment="1">
      <alignment vertical="top"/>
    </xf>
    <xf numFmtId="164" fontId="1" fillId="2" borderId="13" xfId="0" applyNumberFormat="1" applyFont="1" applyFill="1" applyBorder="1" applyAlignment="1">
      <alignment vertical="top"/>
    </xf>
    <xf numFmtId="14" fontId="5" fillId="0" borderId="7" xfId="0" applyNumberFormat="1" applyFont="1" applyBorder="1" applyAlignment="1">
      <alignment horizontal="center" vertical="top"/>
    </xf>
    <xf numFmtId="164" fontId="1" fillId="0" borderId="7" xfId="0" applyNumberFormat="1" applyFont="1" applyBorder="1" applyAlignment="1">
      <alignment vertical="top"/>
    </xf>
    <xf numFmtId="14" fontId="2" fillId="0" borderId="0" xfId="0" applyNumberFormat="1" applyFont="1" applyAlignment="1">
      <alignment vertical="top"/>
    </xf>
    <xf numFmtId="164" fontId="5" fillId="0" borderId="0" xfId="0" applyNumberFormat="1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14" fontId="8" fillId="0" borderId="7" xfId="0" applyNumberFormat="1" applyFont="1" applyBorder="1" applyAlignment="1">
      <alignment horizontal="center" vertical="top"/>
    </xf>
    <xf numFmtId="0" fontId="8" fillId="0" borderId="0" xfId="0" applyFont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0" xfId="0" applyFont="1" applyAlignment="1">
      <alignment vertical="top"/>
    </xf>
    <xf numFmtId="0" fontId="2" fillId="0" borderId="2" xfId="0" applyFont="1" applyBorder="1" applyAlignment="1">
      <alignment horizontal="left" vertical="top"/>
    </xf>
    <xf numFmtId="0" fontId="9" fillId="0" borderId="0" xfId="0" applyFont="1" applyAlignment="1">
      <alignment horizontal="right" vertical="center"/>
    </xf>
    <xf numFmtId="164" fontId="2" fillId="0" borderId="8" xfId="0" applyNumberFormat="1" applyFont="1" applyBorder="1" applyAlignment="1">
      <alignment vertical="top"/>
    </xf>
    <xf numFmtId="164" fontId="1" fillId="0" borderId="2" xfId="0" applyNumberFormat="1" applyFont="1" applyBorder="1" applyAlignment="1">
      <alignment vertical="top"/>
    </xf>
    <xf numFmtId="0" fontId="3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 vertical="top"/>
    </xf>
    <xf numFmtId="4" fontId="3" fillId="0" borderId="0" xfId="0" applyNumberFormat="1" applyFont="1" applyAlignment="1">
      <alignment horizontal="right" vertical="top"/>
    </xf>
    <xf numFmtId="164" fontId="9" fillId="0" borderId="0" xfId="0" applyNumberFormat="1" applyFont="1" applyAlignment="1">
      <alignment vertical="top" wrapText="1"/>
    </xf>
    <xf numFmtId="164" fontId="2" fillId="0" borderId="31" xfId="0" applyNumberFormat="1" applyFont="1" applyBorder="1" applyAlignment="1">
      <alignment vertical="top"/>
    </xf>
    <xf numFmtId="164" fontId="1" fillId="0" borderId="9" xfId="0" applyNumberFormat="1" applyFont="1" applyBorder="1" applyAlignment="1">
      <alignment vertical="top"/>
    </xf>
    <xf numFmtId="0" fontId="2" fillId="0" borderId="7" xfId="0" applyFont="1" applyBorder="1" applyAlignment="1">
      <alignment horizontal="left" vertical="top" wrapText="1"/>
    </xf>
    <xf numFmtId="14" fontId="1" fillId="2" borderId="12" xfId="0" applyNumberFormat="1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left" vertical="top"/>
    </xf>
    <xf numFmtId="0" fontId="1" fillId="2" borderId="12" xfId="0" applyFont="1" applyFill="1" applyBorder="1" applyAlignment="1">
      <alignment vertical="top"/>
    </xf>
    <xf numFmtId="167" fontId="2" fillId="0" borderId="7" xfId="0" applyNumberFormat="1" applyFont="1" applyBorder="1" applyAlignment="1">
      <alignment horizontal="center" vertical="top"/>
    </xf>
    <xf numFmtId="0" fontId="2" fillId="8" borderId="27" xfId="0" applyFont="1" applyFill="1" applyBorder="1" applyAlignment="1">
      <alignment horizontal="left" vertical="top"/>
    </xf>
    <xf numFmtId="167" fontId="2" fillId="0" borderId="0" xfId="0" applyNumberFormat="1" applyFont="1" applyAlignment="1">
      <alignment horizontal="left" vertical="top"/>
    </xf>
    <xf numFmtId="0" fontId="2" fillId="8" borderId="27" xfId="0" applyFont="1" applyFill="1" applyBorder="1" applyAlignment="1">
      <alignment vertical="top"/>
    </xf>
    <xf numFmtId="169" fontId="2" fillId="0" borderId="0" xfId="0" applyNumberFormat="1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0" fontId="2" fillId="8" borderId="11" xfId="0" applyFont="1" applyFill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/>
    </xf>
    <xf numFmtId="0" fontId="2" fillId="0" borderId="7" xfId="0" applyFont="1" applyBorder="1" applyAlignment="1">
      <alignment vertical="top" wrapText="1"/>
    </xf>
    <xf numFmtId="14" fontId="11" fillId="0" borderId="0" xfId="0" applyNumberFormat="1" applyFont="1" applyAlignment="1">
      <alignment horizontal="left" vertical="top"/>
    </xf>
    <xf numFmtId="0" fontId="2" fillId="8" borderId="27" xfId="0" applyFont="1" applyFill="1" applyBorder="1" applyAlignment="1">
      <alignment vertical="top" wrapText="1"/>
    </xf>
    <xf numFmtId="0" fontId="2" fillId="8" borderId="11" xfId="0" applyFont="1" applyFill="1" applyBorder="1" applyAlignment="1">
      <alignment horizontal="left" vertical="top"/>
    </xf>
    <xf numFmtId="164" fontId="2" fillId="0" borderId="0" xfId="0" applyNumberFormat="1" applyFont="1" applyAlignment="1">
      <alignment horizontal="left" vertical="top" wrapText="1"/>
    </xf>
    <xf numFmtId="14" fontId="12" fillId="0" borderId="7" xfId="0" applyNumberFormat="1" applyFont="1" applyBorder="1" applyAlignment="1">
      <alignment horizontal="center" vertical="top"/>
    </xf>
    <xf numFmtId="0" fontId="12" fillId="0" borderId="0" xfId="0" applyFont="1" applyAlignment="1">
      <alignment horizontal="left" vertical="top"/>
    </xf>
    <xf numFmtId="0" fontId="12" fillId="0" borderId="7" xfId="0" applyFont="1" applyBorder="1" applyAlignment="1">
      <alignment horizontal="left" vertical="top"/>
    </xf>
    <xf numFmtId="0" fontId="12" fillId="0" borderId="0" xfId="0" applyFont="1" applyAlignment="1">
      <alignment vertical="top"/>
    </xf>
    <xf numFmtId="0" fontId="12" fillId="8" borderId="27" xfId="0" applyFont="1" applyFill="1" applyBorder="1" applyAlignment="1">
      <alignment horizontal="left" vertical="top"/>
    </xf>
    <xf numFmtId="0" fontId="2" fillId="8" borderId="27" xfId="0" applyFont="1" applyFill="1" applyBorder="1" applyAlignment="1">
      <alignment horizontal="left" vertical="top" wrapText="1"/>
    </xf>
    <xf numFmtId="14" fontId="2" fillId="0" borderId="0" xfId="0" applyNumberFormat="1" applyFont="1" applyAlignment="1">
      <alignment horizontal="center" vertical="top"/>
    </xf>
    <xf numFmtId="0" fontId="2" fillId="8" borderId="27" xfId="0" applyFont="1" applyFill="1" applyBorder="1" applyAlignment="1">
      <alignment horizontal="center" vertical="top"/>
    </xf>
    <xf numFmtId="164" fontId="11" fillId="0" borderId="0" xfId="0" applyNumberFormat="1" applyFont="1" applyAlignment="1">
      <alignment horizontal="center" vertical="top"/>
    </xf>
    <xf numFmtId="14" fontId="11" fillId="0" borderId="0" xfId="0" applyNumberFormat="1" applyFont="1" applyAlignment="1">
      <alignment vertical="top"/>
    </xf>
    <xf numFmtId="14" fontId="7" fillId="0" borderId="0" xfId="0" applyNumberFormat="1" applyFont="1" applyAlignment="1">
      <alignment vertical="top"/>
    </xf>
    <xf numFmtId="0" fontId="11" fillId="0" borderId="7" xfId="0" applyFont="1" applyBorder="1" applyAlignment="1">
      <alignment horizontal="left" vertical="top"/>
    </xf>
    <xf numFmtId="0" fontId="11" fillId="0" borderId="0" xfId="0" applyFont="1" applyAlignment="1">
      <alignment vertical="top"/>
    </xf>
    <xf numFmtId="170" fontId="2" fillId="0" borderId="0" xfId="0" applyNumberFormat="1" applyFont="1" applyAlignment="1">
      <alignment vertical="top"/>
    </xf>
    <xf numFmtId="0" fontId="2" fillId="8" borderId="27" xfId="0" applyFont="1" applyFill="1" applyBorder="1" applyAlignment="1">
      <alignment horizontal="center" vertical="top" wrapText="1"/>
    </xf>
    <xf numFmtId="0" fontId="2" fillId="0" borderId="0" xfId="0" quotePrefix="1" applyFont="1" applyAlignment="1">
      <alignment vertical="top"/>
    </xf>
    <xf numFmtId="14" fontId="14" fillId="0" borderId="7" xfId="0" applyNumberFormat="1" applyFont="1" applyBorder="1" applyAlignment="1">
      <alignment horizontal="center" vertical="top"/>
    </xf>
    <xf numFmtId="0" fontId="14" fillId="0" borderId="0" xfId="0" applyFont="1" applyAlignment="1">
      <alignment horizontal="center" vertical="top" wrapText="1"/>
    </xf>
    <xf numFmtId="0" fontId="14" fillId="0" borderId="7" xfId="0" applyFont="1" applyBorder="1" applyAlignment="1">
      <alignment horizontal="left" vertical="top"/>
    </xf>
    <xf numFmtId="0" fontId="14" fillId="0" borderId="0" xfId="0" applyFont="1" applyAlignment="1">
      <alignment vertical="top"/>
    </xf>
    <xf numFmtId="164" fontId="14" fillId="0" borderId="7" xfId="0" applyNumberFormat="1" applyFont="1" applyBorder="1" applyAlignment="1">
      <alignment vertical="top"/>
    </xf>
    <xf numFmtId="164" fontId="14" fillId="0" borderId="0" xfId="0" applyNumberFormat="1" applyFont="1" applyAlignment="1">
      <alignment vertical="top"/>
    </xf>
    <xf numFmtId="0" fontId="14" fillId="0" borderId="0" xfId="0" applyFont="1" applyAlignment="1">
      <alignment horizontal="left" vertical="top"/>
    </xf>
    <xf numFmtId="164" fontId="14" fillId="0" borderId="0" xfId="0" applyNumberFormat="1" applyFont="1" applyAlignment="1">
      <alignment vertical="top" wrapText="1"/>
    </xf>
    <xf numFmtId="0" fontId="14" fillId="0" borderId="0" xfId="0" applyFont="1" applyAlignment="1">
      <alignment vertical="top" wrapText="1"/>
    </xf>
    <xf numFmtId="0" fontId="2" fillId="0" borderId="7" xfId="0" applyFont="1" applyBorder="1" applyAlignment="1">
      <alignment vertical="top"/>
    </xf>
    <xf numFmtId="0" fontId="7" fillId="0" borderId="0" xfId="0" applyFont="1" applyAlignment="1">
      <alignment vertical="top" wrapText="1"/>
    </xf>
    <xf numFmtId="14" fontId="2" fillId="8" borderId="11" xfId="0" applyNumberFormat="1" applyFont="1" applyFill="1" applyBorder="1" applyAlignment="1">
      <alignment horizontal="center" vertical="top"/>
    </xf>
    <xf numFmtId="16" fontId="2" fillId="0" borderId="0" xfId="0" applyNumberFormat="1" applyFont="1" applyAlignment="1">
      <alignment vertical="top"/>
    </xf>
    <xf numFmtId="14" fontId="7" fillId="0" borderId="7" xfId="0" applyNumberFormat="1" applyFont="1" applyBorder="1" applyAlignment="1">
      <alignment horizontal="center" vertical="top"/>
    </xf>
    <xf numFmtId="164" fontId="7" fillId="0" borderId="7" xfId="0" applyNumberFormat="1" applyFont="1" applyBorder="1" applyAlignment="1">
      <alignment vertical="top"/>
    </xf>
    <xf numFmtId="169" fontId="2" fillId="0" borderId="7" xfId="0" applyNumberFormat="1" applyFont="1" applyBorder="1" applyAlignment="1">
      <alignment horizontal="center" vertical="top"/>
    </xf>
    <xf numFmtId="14" fontId="2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0" xfId="0" applyFont="1" applyAlignment="1">
      <alignment wrapText="1"/>
    </xf>
    <xf numFmtId="164" fontId="2" fillId="0" borderId="7" xfId="0" applyNumberFormat="1" applyFont="1" applyBorder="1"/>
    <xf numFmtId="164" fontId="6" fillId="0" borderId="7" xfId="0" applyNumberFormat="1" applyFont="1" applyBorder="1"/>
    <xf numFmtId="164" fontId="2" fillId="0" borderId="0" xfId="0" applyNumberFormat="1" applyFont="1"/>
    <xf numFmtId="0" fontId="2" fillId="0" borderId="0" xfId="0" applyFont="1"/>
    <xf numFmtId="164" fontId="7" fillId="0" borderId="0" xfId="0" applyNumberFormat="1" applyFont="1"/>
    <xf numFmtId="164" fontId="6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16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 wrapText="1"/>
    </xf>
    <xf numFmtId="164" fontId="4" fillId="0" borderId="0" xfId="0" applyNumberFormat="1" applyFont="1"/>
    <xf numFmtId="164" fontId="2" fillId="0" borderId="7" xfId="0" applyNumberFormat="1" applyFont="1" applyBorder="1" applyAlignment="1">
      <alignment horizontal="center" vertical="top"/>
    </xf>
    <xf numFmtId="164" fontId="2" fillId="0" borderId="9" xfId="0" applyNumberFormat="1" applyFont="1" applyBorder="1" applyAlignment="1">
      <alignment horizontal="center" vertical="top"/>
    </xf>
    <xf numFmtId="164" fontId="1" fillId="2" borderId="11" xfId="0" applyNumberFormat="1" applyFont="1" applyFill="1" applyBorder="1" applyAlignment="1">
      <alignment horizontal="center" vertical="top"/>
    </xf>
    <xf numFmtId="0" fontId="1" fillId="3" borderId="11" xfId="0" applyFont="1" applyFill="1" applyBorder="1" applyAlignment="1">
      <alignment vertical="top"/>
    </xf>
    <xf numFmtId="164" fontId="1" fillId="3" borderId="11" xfId="0" applyNumberFormat="1" applyFont="1" applyFill="1" applyBorder="1" applyAlignment="1">
      <alignment vertical="top"/>
    </xf>
    <xf numFmtId="164" fontId="1" fillId="2" borderId="13" xfId="0" applyNumberFormat="1" applyFont="1" applyFill="1" applyBorder="1" applyAlignment="1">
      <alignment horizontal="center" vertical="top"/>
    </xf>
    <xf numFmtId="0" fontId="1" fillId="3" borderId="13" xfId="0" applyFont="1" applyFill="1" applyBorder="1" applyAlignment="1">
      <alignment vertical="top"/>
    </xf>
    <xf numFmtId="164" fontId="1" fillId="3" borderId="13" xfId="0" applyNumberFormat="1" applyFont="1" applyFill="1" applyBorder="1" applyAlignment="1">
      <alignment vertical="top"/>
    </xf>
    <xf numFmtId="164" fontId="1" fillId="2" borderId="12" xfId="0" applyNumberFormat="1" applyFont="1" applyFill="1" applyBorder="1" applyAlignment="1">
      <alignment horizontal="center" vertical="top"/>
    </xf>
    <xf numFmtId="0" fontId="1" fillId="3" borderId="12" xfId="0" applyFont="1" applyFill="1" applyBorder="1" applyAlignment="1">
      <alignment vertical="top"/>
    </xf>
    <xf numFmtId="164" fontId="1" fillId="3" borderId="12" xfId="0" applyNumberFormat="1" applyFont="1" applyFill="1" applyBorder="1" applyAlignment="1">
      <alignment vertical="top"/>
    </xf>
    <xf numFmtId="164" fontId="2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49" fontId="1" fillId="0" borderId="10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top"/>
    </xf>
    <xf numFmtId="165" fontId="1" fillId="0" borderId="10" xfId="0" applyNumberFormat="1" applyFont="1" applyBorder="1" applyAlignment="1">
      <alignment horizontal="center" vertical="top"/>
    </xf>
    <xf numFmtId="166" fontId="1" fillId="0" borderId="10" xfId="0" applyNumberFormat="1" applyFont="1" applyBorder="1" applyAlignment="1">
      <alignment horizontal="center" vertical="top"/>
    </xf>
    <xf numFmtId="0" fontId="1" fillId="2" borderId="11" xfId="0" applyFont="1" applyFill="1" applyBorder="1" applyAlignment="1">
      <alignment horizontal="left"/>
    </xf>
    <xf numFmtId="40" fontId="1" fillId="2" borderId="11" xfId="0" applyNumberFormat="1" applyFont="1" applyFill="1" applyBorder="1" applyAlignment="1">
      <alignment horizontal="right" wrapText="1"/>
    </xf>
    <xf numFmtId="0" fontId="2" fillId="0" borderId="7" xfId="0" applyFont="1" applyBorder="1"/>
    <xf numFmtId="40" fontId="2" fillId="0" borderId="7" xfId="0" applyNumberFormat="1" applyFont="1" applyBorder="1" applyAlignment="1">
      <alignment horizontal="right" wrapText="1"/>
    </xf>
    <xf numFmtId="40" fontId="1" fillId="0" borderId="7" xfId="0" applyNumberFormat="1" applyFont="1" applyBorder="1" applyAlignment="1">
      <alignment horizontal="right" wrapText="1"/>
    </xf>
    <xf numFmtId="40" fontId="2" fillId="0" borderId="7" xfId="0" applyNumberFormat="1" applyFont="1" applyBorder="1" applyAlignment="1">
      <alignment wrapText="1"/>
    </xf>
    <xf numFmtId="40" fontId="1" fillId="2" borderId="11" xfId="0" applyNumberFormat="1" applyFont="1" applyFill="1" applyBorder="1" applyAlignment="1">
      <alignment wrapText="1"/>
    </xf>
    <xf numFmtId="0" fontId="1" fillId="0" borderId="0" xfId="0" applyFont="1"/>
    <xf numFmtId="0" fontId="1" fillId="0" borderId="10" xfId="0" applyFont="1" applyBorder="1" applyAlignment="1">
      <alignment horizontal="center" vertical="center"/>
    </xf>
    <xf numFmtId="40" fontId="1" fillId="0" borderId="10" xfId="0" applyNumberFormat="1" applyFont="1" applyBorder="1" applyAlignment="1">
      <alignment vertical="center"/>
    </xf>
    <xf numFmtId="10" fontId="1" fillId="0" borderId="10" xfId="0" applyNumberFormat="1" applyFont="1" applyBorder="1" applyAlignment="1">
      <alignment vertical="center" wrapText="1"/>
    </xf>
    <xf numFmtId="40" fontId="1" fillId="0" borderId="10" xfId="0" applyNumberFormat="1" applyFont="1" applyBorder="1" applyAlignment="1">
      <alignment vertical="center" wrapText="1"/>
    </xf>
    <xf numFmtId="10" fontId="1" fillId="0" borderId="10" xfId="0" applyNumberFormat="1" applyFont="1" applyBorder="1" applyAlignment="1">
      <alignment horizontal="center" vertical="center"/>
    </xf>
    <xf numFmtId="10" fontId="1" fillId="0" borderId="10" xfId="0" applyNumberFormat="1" applyFont="1" applyBorder="1" applyAlignment="1">
      <alignment horizontal="center" vertical="center" wrapText="1"/>
    </xf>
    <xf numFmtId="40" fontId="1" fillId="2" borderId="11" xfId="0" applyNumberFormat="1" applyFont="1" applyFill="1" applyBorder="1" applyAlignment="1">
      <alignment vertical="center"/>
    </xf>
    <xf numFmtId="10" fontId="1" fillId="2" borderId="11" xfId="0" applyNumberFormat="1" applyFont="1" applyFill="1" applyBorder="1" applyAlignment="1">
      <alignment horizontal="center" vertical="center" wrapText="1"/>
    </xf>
    <xf numFmtId="10" fontId="1" fillId="2" borderId="12" xfId="0" applyNumberFormat="1" applyFont="1" applyFill="1" applyBorder="1" applyAlignment="1">
      <alignment horizontal="center" vertical="center" wrapText="1"/>
    </xf>
    <xf numFmtId="40" fontId="1" fillId="2" borderId="12" xfId="0" applyNumberFormat="1" applyFont="1" applyFill="1" applyBorder="1" applyAlignment="1">
      <alignment vertical="center" wrapText="1"/>
    </xf>
    <xf numFmtId="164" fontId="1" fillId="0" borderId="0" xfId="0" applyNumberFormat="1" applyFont="1"/>
    <xf numFmtId="10" fontId="1" fillId="0" borderId="9" xfId="0" applyNumberFormat="1" applyFont="1" applyBorder="1" applyAlignment="1">
      <alignment horizontal="center" vertical="center"/>
    </xf>
    <xf numFmtId="10" fontId="1" fillId="0" borderId="9" xfId="0" applyNumberFormat="1" applyFont="1" applyBorder="1" applyAlignment="1">
      <alignment horizontal="center" vertical="center" wrapText="1"/>
    </xf>
    <xf numFmtId="40" fontId="1" fillId="2" borderId="13" xfId="0" applyNumberFormat="1" applyFont="1" applyFill="1" applyBorder="1" applyAlignment="1">
      <alignment horizontal="center" vertical="center" wrapText="1"/>
    </xf>
    <xf numFmtId="10" fontId="1" fillId="2" borderId="1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40" fontId="1" fillId="0" borderId="0" xfId="0" applyNumberFormat="1" applyFont="1" applyAlignment="1">
      <alignment horizontal="left" vertical="center"/>
    </xf>
    <xf numFmtId="10" fontId="1" fillId="0" borderId="0" xfId="0" applyNumberFormat="1" applyFont="1" applyAlignment="1">
      <alignment horizontal="right" vertical="center"/>
    </xf>
    <xf numFmtId="10" fontId="1" fillId="0" borderId="0" xfId="0" applyNumberFormat="1" applyFont="1" applyAlignment="1">
      <alignment horizontal="left" vertical="center" wrapText="1"/>
    </xf>
    <xf numFmtId="164" fontId="1" fillId="0" borderId="9" xfId="0" applyNumberFormat="1" applyFont="1" applyBorder="1" applyAlignment="1">
      <alignment horizontal="right" vertical="center" wrapText="1"/>
    </xf>
    <xf numFmtId="40" fontId="1" fillId="0" borderId="0" xfId="0" applyNumberFormat="1" applyFont="1" applyAlignment="1">
      <alignment horizontal="left" vertical="center" wrapText="1"/>
    </xf>
    <xf numFmtId="10" fontId="1" fillId="0" borderId="10" xfId="0" applyNumberFormat="1" applyFont="1" applyBorder="1" applyAlignment="1">
      <alignment horizontal="right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7" xfId="0" applyNumberFormat="1" applyFont="1" applyBorder="1" applyAlignment="1">
      <alignment horizontal="center" wrapText="1"/>
    </xf>
    <xf numFmtId="0" fontId="1" fillId="3" borderId="11" xfId="0" applyFont="1" applyFill="1" applyBorder="1" applyAlignment="1">
      <alignment horizontal="left" vertical="center"/>
    </xf>
    <xf numFmtId="4" fontId="1" fillId="3" borderId="11" xfId="0" applyNumberFormat="1" applyFont="1" applyFill="1" applyBorder="1" applyAlignment="1">
      <alignment horizontal="right" wrapText="1"/>
    </xf>
    <xf numFmtId="0" fontId="1" fillId="0" borderId="7" xfId="0" applyFont="1" applyBorder="1"/>
    <xf numFmtId="4" fontId="2" fillId="0" borderId="7" xfId="0" applyNumberFormat="1" applyFont="1" applyBorder="1" applyAlignment="1">
      <alignment horizontal="right" wrapText="1"/>
    </xf>
    <xf numFmtId="4" fontId="1" fillId="0" borderId="7" xfId="0" applyNumberFormat="1" applyFont="1" applyBorder="1" applyAlignment="1">
      <alignment horizontal="right" wrapText="1"/>
    </xf>
    <xf numFmtId="0" fontId="1" fillId="3" borderId="11" xfId="0" applyFont="1" applyFill="1" applyBorder="1"/>
    <xf numFmtId="0" fontId="1" fillId="0" borderId="14" xfId="0" applyFont="1" applyBorder="1" applyAlignment="1">
      <alignment horizontal="center" vertical="center"/>
    </xf>
    <xf numFmtId="40" fontId="1" fillId="0" borderId="14" xfId="0" applyNumberFormat="1" applyFont="1" applyBorder="1" applyAlignment="1">
      <alignment horizontal="right" wrapText="1"/>
    </xf>
    <xf numFmtId="164" fontId="1" fillId="0" borderId="14" xfId="0" applyNumberFormat="1" applyFont="1" applyBorder="1" applyAlignment="1">
      <alignment horizontal="right" wrapText="1"/>
    </xf>
    <xf numFmtId="0" fontId="1" fillId="0" borderId="15" xfId="0" applyFont="1" applyBorder="1" applyAlignment="1">
      <alignment horizontal="center" vertical="center"/>
    </xf>
    <xf numFmtId="40" fontId="1" fillId="4" borderId="16" xfId="0" applyNumberFormat="1" applyFont="1" applyFill="1" applyBorder="1" applyAlignment="1">
      <alignment horizontal="right" wrapText="1"/>
    </xf>
    <xf numFmtId="10" fontId="1" fillId="0" borderId="16" xfId="0" applyNumberFormat="1" applyFont="1" applyBorder="1" applyAlignment="1">
      <alignment horizontal="right"/>
    </xf>
    <xf numFmtId="10" fontId="1" fillId="0" borderId="16" xfId="0" applyNumberFormat="1" applyFont="1" applyBorder="1" applyAlignment="1">
      <alignment horizontal="center"/>
    </xf>
    <xf numFmtId="10" fontId="1" fillId="4" borderId="16" xfId="0" applyNumberFormat="1" applyFont="1" applyFill="1" applyBorder="1" applyAlignment="1">
      <alignment wrapText="1"/>
    </xf>
    <xf numFmtId="10" fontId="1" fillId="5" borderId="16" xfId="0" applyNumberFormat="1" applyFont="1" applyFill="1" applyBorder="1" applyAlignment="1">
      <alignment wrapText="1"/>
    </xf>
    <xf numFmtId="40" fontId="1" fillId="4" borderId="16" xfId="0" applyNumberFormat="1" applyFont="1" applyFill="1" applyBorder="1" applyAlignment="1">
      <alignment wrapText="1"/>
    </xf>
    <xf numFmtId="10" fontId="1" fillId="0" borderId="16" xfId="0" applyNumberFormat="1" applyFont="1" applyBorder="1" applyAlignment="1">
      <alignment wrapText="1"/>
    </xf>
    <xf numFmtId="0" fontId="1" fillId="0" borderId="17" xfId="0" applyFont="1" applyBorder="1" applyAlignment="1">
      <alignment horizontal="center" vertical="center"/>
    </xf>
    <xf numFmtId="40" fontId="1" fillId="0" borderId="17" xfId="0" applyNumberFormat="1" applyFont="1" applyBorder="1" applyAlignment="1">
      <alignment horizontal="right" wrapText="1"/>
    </xf>
    <xf numFmtId="10" fontId="1" fillId="0" borderId="17" xfId="0" applyNumberFormat="1" applyFont="1" applyBorder="1" applyAlignment="1">
      <alignment horizontal="right"/>
    </xf>
    <xf numFmtId="10" fontId="1" fillId="0" borderId="17" xfId="0" applyNumberFormat="1" applyFont="1" applyBorder="1"/>
    <xf numFmtId="10" fontId="1" fillId="0" borderId="17" xfId="0" applyNumberFormat="1" applyFont="1" applyBorder="1" applyAlignment="1">
      <alignment wrapText="1"/>
    </xf>
    <xf numFmtId="40" fontId="1" fillId="0" borderId="17" xfId="0" applyNumberFormat="1" applyFont="1" applyBorder="1" applyAlignment="1">
      <alignment wrapText="1"/>
    </xf>
    <xf numFmtId="40" fontId="1" fillId="0" borderId="0" xfId="0" applyNumberFormat="1" applyFont="1" applyAlignment="1">
      <alignment horizontal="right" wrapText="1"/>
    </xf>
    <xf numFmtId="10" fontId="1" fillId="0" borderId="0" xfId="0" applyNumberFormat="1" applyFont="1" applyAlignment="1">
      <alignment horizontal="right"/>
    </xf>
    <xf numFmtId="10" fontId="1" fillId="0" borderId="0" xfId="0" applyNumberFormat="1" applyFont="1"/>
    <xf numFmtId="10" fontId="1" fillId="0" borderId="0" xfId="0" applyNumberFormat="1" applyFont="1" applyAlignment="1">
      <alignment wrapText="1"/>
    </xf>
    <xf numFmtId="40" fontId="1" fillId="0" borderId="0" xfId="0" applyNumberFormat="1" applyFont="1" applyAlignment="1">
      <alignment wrapText="1"/>
    </xf>
    <xf numFmtId="164" fontId="2" fillId="0" borderId="7" xfId="0" applyNumberFormat="1" applyFont="1" applyBorder="1" applyAlignment="1">
      <alignment horizontal="right" wrapText="1"/>
    </xf>
    <xf numFmtId="164" fontId="2" fillId="0" borderId="7" xfId="0" applyNumberFormat="1" applyFont="1" applyBorder="1" applyAlignment="1">
      <alignment wrapText="1"/>
    </xf>
    <xf numFmtId="4" fontId="2" fillId="0" borderId="7" xfId="0" applyNumberFormat="1" applyFont="1" applyBorder="1" applyAlignment="1">
      <alignment wrapText="1"/>
    </xf>
    <xf numFmtId="40" fontId="1" fillId="0" borderId="14" xfId="0" applyNumberFormat="1" applyFont="1" applyBorder="1"/>
    <xf numFmtId="40" fontId="1" fillId="0" borderId="14" xfId="0" applyNumberFormat="1" applyFont="1" applyBorder="1" applyAlignment="1">
      <alignment horizontal="right"/>
    </xf>
    <xf numFmtId="40" fontId="1" fillId="0" borderId="14" xfId="0" applyNumberFormat="1" applyFont="1" applyBorder="1" applyAlignment="1">
      <alignment wrapText="1"/>
    </xf>
    <xf numFmtId="40" fontId="1" fillId="4" borderId="16" xfId="0" applyNumberFormat="1" applyFont="1" applyFill="1" applyBorder="1"/>
    <xf numFmtId="10" fontId="1" fillId="0" borderId="16" xfId="0" applyNumberFormat="1" applyFont="1" applyBorder="1"/>
    <xf numFmtId="10" fontId="1" fillId="4" borderId="16" xfId="0" applyNumberFormat="1" applyFont="1" applyFill="1" applyBorder="1"/>
    <xf numFmtId="0" fontId="2" fillId="0" borderId="48" xfId="0" applyFont="1" applyBorder="1"/>
    <xf numFmtId="0" fontId="2" fillId="0" borderId="49" xfId="0" applyFont="1" applyBorder="1"/>
    <xf numFmtId="164" fontId="2" fillId="0" borderId="49" xfId="0" applyNumberFormat="1" applyFont="1" applyBorder="1"/>
    <xf numFmtId="0" fontId="2" fillId="0" borderId="50" xfId="0" applyFont="1" applyBorder="1"/>
    <xf numFmtId="168" fontId="2" fillId="0" borderId="51" xfId="0" applyNumberFormat="1" applyFont="1" applyBorder="1"/>
    <xf numFmtId="168" fontId="2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64" fontId="1" fillId="0" borderId="51" xfId="0" applyNumberFormat="1" applyFont="1" applyBorder="1"/>
    <xf numFmtId="0" fontId="2" fillId="0" borderId="52" xfId="0" applyFont="1" applyBorder="1"/>
    <xf numFmtId="0" fontId="2" fillId="0" borderId="53" xfId="0" applyFont="1" applyBorder="1"/>
    <xf numFmtId="164" fontId="2" fillId="0" borderId="53" xfId="0" applyNumberFormat="1" applyFont="1" applyBorder="1"/>
    <xf numFmtId="164" fontId="3" fillId="0" borderId="50" xfId="0" applyNumberFormat="1" applyFont="1" applyBorder="1" applyAlignment="1">
      <alignment horizontal="right"/>
    </xf>
    <xf numFmtId="0" fontId="3" fillId="0" borderId="0" xfId="0" applyFont="1" applyAlignment="1">
      <alignment horizontal="right" vertical="center"/>
    </xf>
    <xf numFmtId="164" fontId="9" fillId="0" borderId="0" xfId="0" applyNumberFormat="1" applyFont="1" applyAlignment="1">
      <alignment horizontal="right"/>
    </xf>
    <xf numFmtId="164" fontId="19" fillId="0" borderId="0" xfId="0" applyNumberFormat="1" applyFont="1" applyAlignment="1">
      <alignment horizontal="right"/>
    </xf>
    <xf numFmtId="0" fontId="10" fillId="0" borderId="0" xfId="0" applyFont="1"/>
    <xf numFmtId="164" fontId="10" fillId="0" borderId="0" xfId="0" applyNumberFormat="1" applyFont="1"/>
    <xf numFmtId="0" fontId="9" fillId="0" borderId="0" xfId="0" applyFont="1"/>
    <xf numFmtId="164" fontId="9" fillId="0" borderId="0" xfId="0" applyNumberFormat="1" applyFont="1"/>
    <xf numFmtId="164" fontId="20" fillId="0" borderId="51" xfId="0" applyNumberFormat="1" applyFont="1" applyBorder="1"/>
    <xf numFmtId="164" fontId="20" fillId="0" borderId="0" xfId="0" applyNumberFormat="1" applyFont="1"/>
    <xf numFmtId="0" fontId="10" fillId="0" borderId="0" xfId="0" applyFont="1" applyAlignment="1">
      <alignment vertical="top"/>
    </xf>
    <xf numFmtId="164" fontId="10" fillId="0" borderId="51" xfId="0" applyNumberFormat="1" applyFont="1" applyBorder="1"/>
    <xf numFmtId="164" fontId="2" fillId="0" borderId="0" xfId="0" applyNumberFormat="1" applyFont="1" applyAlignment="1">
      <alignment horizontal="right"/>
    </xf>
    <xf numFmtId="164" fontId="9" fillId="0" borderId="51" xfId="0" applyNumberFormat="1" applyFont="1" applyBorder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 vertical="top" wrapText="1"/>
    </xf>
    <xf numFmtId="164" fontId="4" fillId="0" borderId="0" xfId="0" applyNumberFormat="1" applyFont="1" applyAlignment="1">
      <alignment horizontal="center"/>
    </xf>
    <xf numFmtId="14" fontId="5" fillId="0" borderId="0" xfId="0" applyNumberFormat="1" applyFont="1"/>
    <xf numFmtId="14" fontId="2" fillId="0" borderId="0" xfId="0" applyNumberFormat="1" applyFont="1"/>
    <xf numFmtId="164" fontId="1" fillId="3" borderId="27" xfId="0" applyNumberFormat="1" applyFont="1" applyFill="1" applyBorder="1"/>
    <xf numFmtId="164" fontId="4" fillId="3" borderId="27" xfId="0" applyNumberFormat="1" applyFont="1" applyFill="1" applyBorder="1"/>
    <xf numFmtId="169" fontId="2" fillId="0" borderId="0" xfId="0" applyNumberFormat="1" applyFont="1"/>
    <xf numFmtId="169" fontId="1" fillId="0" borderId="0" xfId="0" applyNumberFormat="1" applyFont="1" applyAlignment="1">
      <alignment horizontal="center"/>
    </xf>
    <xf numFmtId="169" fontId="4" fillId="0" borderId="0" xfId="0" applyNumberFormat="1" applyFont="1"/>
    <xf numFmtId="169" fontId="5" fillId="0" borderId="0" xfId="0" applyNumberFormat="1" applyFont="1"/>
    <xf numFmtId="164" fontId="5" fillId="0" borderId="0" xfId="0" applyNumberFormat="1" applyFont="1"/>
    <xf numFmtId="169" fontId="1" fillId="0" borderId="0" xfId="0" applyNumberFormat="1" applyFont="1"/>
    <xf numFmtId="169" fontId="1" fillId="3" borderId="27" xfId="0" applyNumberFormat="1" applyFont="1" applyFill="1" applyBorder="1"/>
    <xf numFmtId="169" fontId="21" fillId="8" borderId="27" xfId="0" applyNumberFormat="1" applyFont="1" applyFill="1" applyBorder="1"/>
    <xf numFmtId="164" fontId="21" fillId="0" borderId="0" xfId="0" applyNumberFormat="1" applyFont="1"/>
    <xf numFmtId="164" fontId="21" fillId="8" borderId="27" xfId="0" applyNumberFormat="1" applyFont="1" applyFill="1" applyBorder="1"/>
    <xf numFmtId="169" fontId="1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164" fontId="22" fillId="0" borderId="0" xfId="0" applyNumberFormat="1" applyFont="1"/>
    <xf numFmtId="164" fontId="1" fillId="0" borderId="0" xfId="0" applyNumberFormat="1" applyFont="1" applyAlignment="1">
      <alignment horizontal="left"/>
    </xf>
    <xf numFmtId="164" fontId="6" fillId="0" borderId="0" xfId="0" applyNumberFormat="1" applyFont="1"/>
    <xf numFmtId="14" fontId="1" fillId="0" borderId="2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4" fillId="0" borderId="0" xfId="0" applyFont="1"/>
    <xf numFmtId="0" fontId="15" fillId="0" borderId="0" xfId="0" applyFont="1"/>
    <xf numFmtId="14" fontId="10" fillId="0" borderId="0" xfId="0" applyNumberFormat="1" applyFont="1"/>
    <xf numFmtId="14" fontId="10" fillId="8" borderId="27" xfId="0" applyNumberFormat="1" applyFont="1" applyFill="1" applyBorder="1"/>
    <xf numFmtId="0" fontId="15" fillId="8" borderId="27" xfId="0" applyFont="1" applyFill="1" applyBorder="1"/>
    <xf numFmtId="164" fontId="2" fillId="14" borderId="27" xfId="0" applyNumberFormat="1" applyFont="1" applyFill="1" applyBorder="1"/>
    <xf numFmtId="14" fontId="24" fillId="0" borderId="0" xfId="0" applyNumberFormat="1" applyFont="1"/>
    <xf numFmtId="0" fontId="11" fillId="0" borderId="0" xfId="0" applyFont="1"/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4" fontId="4" fillId="0" borderId="0" xfId="0" applyNumberFormat="1" applyFont="1"/>
    <xf numFmtId="14" fontId="1" fillId="0" borderId="0" xfId="0" applyNumberFormat="1" applyFont="1"/>
    <xf numFmtId="14" fontId="1" fillId="3" borderId="27" xfId="0" applyNumberFormat="1" applyFont="1" applyFill="1" applyBorder="1"/>
    <xf numFmtId="14" fontId="1" fillId="0" borderId="0" xfId="0" applyNumberFormat="1" applyFont="1" applyAlignment="1">
      <alignment horizontal="right"/>
    </xf>
    <xf numFmtId="164" fontId="4" fillId="5" borderId="27" xfId="0" applyNumberFormat="1" applyFont="1" applyFill="1" applyBorder="1"/>
    <xf numFmtId="167" fontId="1" fillId="8" borderId="27" xfId="0" applyNumberFormat="1" applyFont="1" applyFill="1" applyBorder="1"/>
    <xf numFmtId="164" fontId="2" fillId="8" borderId="27" xfId="0" applyNumberFormat="1" applyFont="1" applyFill="1" applyBorder="1" applyAlignment="1">
      <alignment horizontal="right"/>
    </xf>
    <xf numFmtId="14" fontId="1" fillId="8" borderId="27" xfId="0" applyNumberFormat="1" applyFont="1" applyFill="1" applyBorder="1"/>
    <xf numFmtId="164" fontId="6" fillId="5" borderId="27" xfId="0" applyNumberFormat="1" applyFont="1" applyFill="1" applyBorder="1"/>
    <xf numFmtId="14" fontId="5" fillId="8" borderId="27" xfId="0" applyNumberFormat="1" applyFont="1" applyFill="1" applyBorder="1"/>
    <xf numFmtId="164" fontId="2" fillId="8" borderId="27" xfId="0" applyNumberFormat="1" applyFont="1" applyFill="1" applyBorder="1"/>
    <xf numFmtId="164" fontId="1" fillId="0" borderId="27" xfId="0" applyNumberFormat="1" applyFont="1" applyBorder="1"/>
    <xf numFmtId="164" fontId="9" fillId="18" borderId="0" xfId="0" applyNumberFormat="1" applyFont="1" applyFill="1"/>
    <xf numFmtId="14" fontId="1" fillId="0" borderId="0" xfId="0" applyNumberFormat="1" applyFont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0" borderId="0" xfId="0" applyNumberFormat="1" applyFont="1" applyAlignment="1">
      <alignment horizontal="center" vertical="top" wrapText="1"/>
    </xf>
    <xf numFmtId="164" fontId="5" fillId="0" borderId="0" xfId="0" applyNumberFormat="1" applyFont="1" applyAlignment="1">
      <alignment horizontal="right"/>
    </xf>
    <xf numFmtId="14" fontId="2" fillId="0" borderId="0" xfId="0" applyNumberFormat="1" applyFont="1" applyAlignment="1">
      <alignment horizontal="right"/>
    </xf>
    <xf numFmtId="167" fontId="2" fillId="8" borderId="27" xfId="0" applyNumberFormat="1" applyFont="1" applyFill="1" applyBorder="1"/>
    <xf numFmtId="164" fontId="11" fillId="8" borderId="27" xfId="0" applyNumberFormat="1" applyFont="1" applyFill="1" applyBorder="1"/>
    <xf numFmtId="164" fontId="4" fillId="9" borderId="27" xfId="0" applyNumberFormat="1" applyFont="1" applyFill="1" applyBorder="1"/>
    <xf numFmtId="14" fontId="2" fillId="8" borderId="27" xfId="0" applyNumberFormat="1" applyFont="1" applyFill="1" applyBorder="1"/>
    <xf numFmtId="164" fontId="24" fillId="8" borderId="27" xfId="0" applyNumberFormat="1" applyFont="1" applyFill="1" applyBorder="1"/>
    <xf numFmtId="164" fontId="5" fillId="8" borderId="27" xfId="0" applyNumberFormat="1" applyFont="1" applyFill="1" applyBorder="1"/>
    <xf numFmtId="164" fontId="11" fillId="0" borderId="0" xfId="0" applyNumberFormat="1" applyFont="1"/>
    <xf numFmtId="164" fontId="1" fillId="10" borderId="10" xfId="0" applyNumberFormat="1" applyFont="1" applyFill="1" applyBorder="1" applyAlignment="1">
      <alignment horizontal="center" vertical="center" wrapText="1"/>
    </xf>
    <xf numFmtId="164" fontId="1" fillId="12" borderId="45" xfId="0" applyNumberFormat="1" applyFont="1" applyFill="1" applyBorder="1" applyAlignment="1">
      <alignment horizontal="center" wrapText="1"/>
    </xf>
    <xf numFmtId="164" fontId="1" fillId="12" borderId="46" xfId="0" applyNumberFormat="1" applyFont="1" applyFill="1" applyBorder="1" applyAlignment="1">
      <alignment horizontal="center" wrapText="1"/>
    </xf>
    <xf numFmtId="164" fontId="1" fillId="12" borderId="47" xfId="0" applyNumberFormat="1" applyFont="1" applyFill="1" applyBorder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164" fontId="1" fillId="13" borderId="27" xfId="0" applyNumberFormat="1" applyFont="1" applyFill="1" applyBorder="1" applyAlignment="1">
      <alignment horizontal="right"/>
    </xf>
    <xf numFmtId="164" fontId="1" fillId="13" borderId="27" xfId="0" applyNumberFormat="1" applyFont="1" applyFill="1" applyBorder="1"/>
    <xf numFmtId="169" fontId="10" fillId="0" borderId="0" xfId="0" applyNumberFormat="1" applyFont="1"/>
    <xf numFmtId="169" fontId="2" fillId="0" borderId="0" xfId="0" applyNumberFormat="1" applyFont="1" applyAlignment="1">
      <alignment horizontal="right"/>
    </xf>
    <xf numFmtId="164" fontId="7" fillId="8" borderId="27" xfId="0" applyNumberFormat="1" applyFont="1" applyFill="1" applyBorder="1" applyAlignment="1">
      <alignment horizontal="right"/>
    </xf>
    <xf numFmtId="169" fontId="2" fillId="8" borderId="27" xfId="0" applyNumberFormat="1" applyFont="1" applyFill="1" applyBorder="1"/>
    <xf numFmtId="164" fontId="7" fillId="8" borderId="27" xfId="0" applyNumberFormat="1" applyFont="1" applyFill="1" applyBorder="1" applyAlignment="1">
      <alignment horizontal="left"/>
    </xf>
    <xf numFmtId="164" fontId="11" fillId="8" borderId="27" xfId="0" applyNumberFormat="1" applyFont="1" applyFill="1" applyBorder="1" applyAlignment="1">
      <alignment horizontal="right"/>
    </xf>
    <xf numFmtId="169" fontId="5" fillId="5" borderId="27" xfId="0" applyNumberFormat="1" applyFont="1" applyFill="1" applyBorder="1"/>
    <xf numFmtId="164" fontId="5" fillId="5" borderId="27" xfId="0" applyNumberFormat="1" applyFont="1" applyFill="1" applyBorder="1"/>
    <xf numFmtId="169" fontId="1" fillId="8" borderId="27" xfId="0" applyNumberFormat="1" applyFont="1" applyFill="1" applyBorder="1"/>
    <xf numFmtId="164" fontId="2" fillId="0" borderId="0" xfId="0" applyNumberFormat="1" applyFont="1" applyAlignment="1">
      <alignment horizontal="left"/>
    </xf>
    <xf numFmtId="169" fontId="1" fillId="14" borderId="27" xfId="0" applyNumberFormat="1" applyFont="1" applyFill="1" applyBorder="1"/>
    <xf numFmtId="164" fontId="2" fillId="14" borderId="27" xfId="0" applyNumberFormat="1" applyFont="1" applyFill="1" applyBorder="1" applyAlignment="1">
      <alignment horizontal="right"/>
    </xf>
    <xf numFmtId="164" fontId="4" fillId="15" borderId="27" xfId="0" applyNumberFormat="1" applyFont="1" applyFill="1" applyBorder="1"/>
    <xf numFmtId="4" fontId="5" fillId="0" borderId="7" xfId="0" applyNumberFormat="1" applyFont="1" applyBorder="1" applyAlignment="1">
      <alignment horizontal="right" vertical="top" wrapText="1"/>
    </xf>
    <xf numFmtId="164" fontId="4" fillId="19" borderId="27" xfId="0" applyNumberFormat="1" applyFont="1" applyFill="1" applyBorder="1"/>
    <xf numFmtId="164" fontId="7" fillId="0" borderId="0" xfId="0" applyNumberFormat="1" applyFont="1" applyAlignment="1">
      <alignment horizontal="right"/>
    </xf>
    <xf numFmtId="168" fontId="1" fillId="0" borderId="0" xfId="0" applyNumberFormat="1" applyFont="1"/>
    <xf numFmtId="0" fontId="1" fillId="0" borderId="0" xfId="0" applyFont="1" applyAlignment="1">
      <alignment horizontal="center" wrapText="1"/>
    </xf>
    <xf numFmtId="168" fontId="4" fillId="0" borderId="0" xfId="0" applyNumberFormat="1" applyFont="1"/>
    <xf numFmtId="0" fontId="6" fillId="0" borderId="0" xfId="0" applyFont="1"/>
    <xf numFmtId="168" fontId="5" fillId="0" borderId="0" xfId="0" applyNumberFormat="1" applyFont="1"/>
    <xf numFmtId="0" fontId="7" fillId="0" borderId="0" xfId="0" applyFont="1"/>
    <xf numFmtId="168" fontId="1" fillId="3" borderId="27" xfId="0" applyNumberFormat="1" applyFont="1" applyFill="1" applyBorder="1"/>
    <xf numFmtId="164" fontId="4" fillId="3" borderId="27" xfId="0" applyNumberFormat="1" applyFont="1" applyFill="1" applyBorder="1" applyAlignment="1">
      <alignment horizontal="center"/>
    </xf>
    <xf numFmtId="168" fontId="1" fillId="8" borderId="27" xfId="0" applyNumberFormat="1" applyFont="1" applyFill="1" applyBorder="1"/>
    <xf numFmtId="0" fontId="2" fillId="8" borderId="27" xfId="0" applyFont="1" applyFill="1" applyBorder="1"/>
    <xf numFmtId="167" fontId="1" fillId="0" borderId="0" xfId="0" applyNumberFormat="1" applyFont="1"/>
    <xf numFmtId="0" fontId="11" fillId="8" borderId="27" xfId="0" applyFont="1" applyFill="1" applyBorder="1"/>
    <xf numFmtId="0" fontId="7" fillId="8" borderId="27" xfId="0" applyFont="1" applyFill="1" applyBorder="1"/>
    <xf numFmtId="168" fontId="1" fillId="0" borderId="0" xfId="0" applyNumberFormat="1" applyFont="1" applyAlignment="1">
      <alignment horizontal="right"/>
    </xf>
    <xf numFmtId="168" fontId="1" fillId="5" borderId="27" xfId="0" applyNumberFormat="1" applyFont="1" applyFill="1" applyBorder="1"/>
    <xf numFmtId="164" fontId="4" fillId="15" borderId="27" xfId="0" applyNumberFormat="1" applyFont="1" applyFill="1" applyBorder="1" applyAlignment="1">
      <alignment horizontal="center"/>
    </xf>
    <xf numFmtId="164" fontId="1" fillId="8" borderId="27" xfId="0" applyNumberFormat="1" applyFont="1" applyFill="1" applyBorder="1"/>
    <xf numFmtId="14" fontId="1" fillId="8" borderId="27" xfId="0" applyNumberFormat="1" applyFont="1" applyFill="1" applyBorder="1" applyAlignment="1">
      <alignment horizontal="right"/>
    </xf>
    <xf numFmtId="17" fontId="1" fillId="0" borderId="0" xfId="0" applyNumberFormat="1" applyFont="1" applyAlignment="1">
      <alignment horizontal="center"/>
    </xf>
    <xf numFmtId="0" fontId="5" fillId="0" borderId="0" xfId="0" applyFont="1"/>
    <xf numFmtId="0" fontId="1" fillId="3" borderId="27" xfId="0" applyFont="1" applyFill="1" applyBorder="1"/>
    <xf numFmtId="0" fontId="7" fillId="0" borderId="24" xfId="0" applyFont="1" applyBorder="1" applyAlignment="1">
      <alignment vertical="top" wrapText="1"/>
    </xf>
    <xf numFmtId="0" fontId="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164" fontId="25" fillId="0" borderId="0" xfId="0" applyNumberFormat="1" applyFont="1" applyAlignment="1">
      <alignment vertical="top"/>
    </xf>
    <xf numFmtId="0" fontId="25" fillId="0" borderId="0" xfId="0" applyFont="1" applyAlignment="1">
      <alignment vertical="top"/>
    </xf>
    <xf numFmtId="0" fontId="1" fillId="0" borderId="2" xfId="0" applyFont="1" applyBorder="1" applyAlignment="1">
      <alignment horizontal="center" vertical="top"/>
    </xf>
    <xf numFmtId="164" fontId="1" fillId="0" borderId="2" xfId="0" applyNumberFormat="1" applyFont="1" applyBorder="1" applyAlignment="1">
      <alignment horizontal="center" vertical="top"/>
    </xf>
    <xf numFmtId="164" fontId="9" fillId="0" borderId="2" xfId="0" applyNumberFormat="1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164" fontId="1" fillId="0" borderId="7" xfId="0" applyNumberFormat="1" applyFont="1" applyBorder="1" applyAlignment="1">
      <alignment horizontal="center" vertical="top"/>
    </xf>
    <xf numFmtId="164" fontId="9" fillId="0" borderId="7" xfId="0" applyNumberFormat="1" applyFont="1" applyBorder="1" applyAlignment="1">
      <alignment horizontal="center" vertical="top"/>
    </xf>
    <xf numFmtId="0" fontId="2" fillId="0" borderId="9" xfId="0" applyFont="1" applyBorder="1" applyAlignment="1">
      <alignment vertical="top"/>
    </xf>
    <xf numFmtId="164" fontId="1" fillId="0" borderId="9" xfId="0" applyNumberFormat="1" applyFont="1" applyBorder="1" applyAlignment="1">
      <alignment horizontal="center" vertical="top"/>
    </xf>
    <xf numFmtId="164" fontId="9" fillId="0" borderId="9" xfId="0" applyNumberFormat="1" applyFont="1" applyBorder="1" applyAlignment="1">
      <alignment horizontal="center" vertical="top"/>
    </xf>
    <xf numFmtId="49" fontId="1" fillId="0" borderId="10" xfId="0" applyNumberFormat="1" applyFont="1" applyBorder="1" applyAlignment="1">
      <alignment vertical="top"/>
    </xf>
    <xf numFmtId="49" fontId="9" fillId="0" borderId="10" xfId="0" applyNumberFormat="1" applyFont="1" applyBorder="1" applyAlignment="1">
      <alignment horizontal="center" vertical="top"/>
    </xf>
    <xf numFmtId="49" fontId="9" fillId="0" borderId="10" xfId="0" quotePrefix="1" applyNumberFormat="1" applyFont="1" applyBorder="1" applyAlignment="1">
      <alignment horizontal="center" vertical="top"/>
    </xf>
    <xf numFmtId="49" fontId="2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164" fontId="1" fillId="2" borderId="11" xfId="0" applyNumberFormat="1" applyFont="1" applyFill="1" applyBorder="1" applyAlignment="1">
      <alignment horizontal="right" vertical="top"/>
    </xf>
    <xf numFmtId="164" fontId="9" fillId="2" borderId="11" xfId="0" applyNumberFormat="1" applyFont="1" applyFill="1" applyBorder="1" applyAlignment="1">
      <alignment horizontal="right" vertical="top"/>
    </xf>
    <xf numFmtId="168" fontId="1" fillId="0" borderId="0" xfId="0" applyNumberFormat="1" applyFont="1" applyAlignment="1">
      <alignment vertical="top"/>
    </xf>
    <xf numFmtId="164" fontId="2" fillId="15" borderId="27" xfId="0" applyNumberFormat="1" applyFont="1" applyFill="1" applyBorder="1" applyAlignment="1">
      <alignment vertical="top"/>
    </xf>
    <xf numFmtId="164" fontId="2" fillId="16" borderId="27" xfId="0" applyNumberFormat="1" applyFont="1" applyFill="1" applyBorder="1" applyAlignment="1">
      <alignment vertical="top"/>
    </xf>
    <xf numFmtId="0" fontId="1" fillId="0" borderId="7" xfId="0" applyFont="1" applyBorder="1" applyAlignment="1">
      <alignment vertical="top"/>
    </xf>
    <xf numFmtId="164" fontId="9" fillId="0" borderId="7" xfId="0" applyNumberFormat="1" applyFont="1" applyBorder="1" applyAlignment="1">
      <alignment vertical="top"/>
    </xf>
    <xf numFmtId="164" fontId="25" fillId="0" borderId="7" xfId="0" applyNumberFormat="1" applyFont="1" applyBorder="1" applyAlignment="1">
      <alignment vertical="top"/>
    </xf>
    <xf numFmtId="164" fontId="9" fillId="3" borderId="11" xfId="0" applyNumberFormat="1" applyFont="1" applyFill="1" applyBorder="1" applyAlignment="1">
      <alignment vertical="top"/>
    </xf>
    <xf numFmtId="164" fontId="26" fillId="0" borderId="7" xfId="0" applyNumberFormat="1" applyFont="1" applyBorder="1" applyAlignment="1">
      <alignment vertical="top"/>
    </xf>
    <xf numFmtId="164" fontId="25" fillId="0" borderId="7" xfId="0" applyNumberFormat="1" applyFont="1" applyBorder="1" applyAlignment="1">
      <alignment horizontal="center" vertical="top"/>
    </xf>
    <xf numFmtId="164" fontId="5" fillId="0" borderId="0" xfId="0" applyNumberFormat="1" applyFont="1" applyAlignment="1">
      <alignment vertical="top"/>
    </xf>
    <xf numFmtId="164" fontId="25" fillId="0" borderId="9" xfId="0" applyNumberFormat="1" applyFont="1" applyBorder="1" applyAlignment="1">
      <alignment vertical="top"/>
    </xf>
    <xf numFmtId="0" fontId="18" fillId="0" borderId="7" xfId="0" applyFont="1" applyBorder="1" applyAlignment="1">
      <alignment vertical="top"/>
    </xf>
    <xf numFmtId="164" fontId="1" fillId="16" borderId="27" xfId="0" applyNumberFormat="1" applyFont="1" applyFill="1" applyBorder="1" applyAlignment="1">
      <alignment vertical="top"/>
    </xf>
    <xf numFmtId="168" fontId="2" fillId="0" borderId="0" xfId="0" applyNumberFormat="1" applyFont="1" applyAlignment="1">
      <alignment vertical="top"/>
    </xf>
    <xf numFmtId="164" fontId="9" fillId="2" borderId="11" xfId="0" applyNumberFormat="1" applyFont="1" applyFill="1" applyBorder="1" applyAlignment="1">
      <alignment vertical="top"/>
    </xf>
    <xf numFmtId="164" fontId="1" fillId="17" borderId="27" xfId="0" applyNumberFormat="1" applyFont="1" applyFill="1" applyBorder="1" applyAlignment="1">
      <alignment vertical="top"/>
    </xf>
    <xf numFmtId="0" fontId="2" fillId="17" borderId="27" xfId="0" applyFont="1" applyFill="1" applyBorder="1" applyAlignment="1">
      <alignment vertical="top"/>
    </xf>
    <xf numFmtId="164" fontId="3" fillId="0" borderId="7" xfId="0" applyNumberFormat="1" applyFont="1" applyBorder="1" applyAlignment="1">
      <alignment vertical="top"/>
    </xf>
    <xf numFmtId="164" fontId="12" fillId="0" borderId="7" xfId="0" applyNumberFormat="1" applyFont="1" applyBorder="1" applyAlignment="1">
      <alignment vertical="top"/>
    </xf>
    <xf numFmtId="0" fontId="25" fillId="0" borderId="9" xfId="0" applyFont="1" applyBorder="1" applyAlignment="1">
      <alignment vertical="top"/>
    </xf>
    <xf numFmtId="0" fontId="27" fillId="0" borderId="0" xfId="0" applyFont="1" applyAlignment="1">
      <alignment vertical="top"/>
    </xf>
    <xf numFmtId="164" fontId="4" fillId="0" borderId="7" xfId="0" applyNumberFormat="1" applyFont="1" applyBorder="1" applyAlignment="1">
      <alignment vertical="top"/>
    </xf>
    <xf numFmtId="164" fontId="4" fillId="0" borderId="9" xfId="0" applyNumberFormat="1" applyFont="1" applyBorder="1" applyAlignment="1">
      <alignment vertical="top"/>
    </xf>
    <xf numFmtId="164" fontId="2" fillId="8" borderId="11" xfId="0" applyNumberFormat="1" applyFont="1" applyFill="1" applyBorder="1" applyAlignment="1">
      <alignment vertical="top"/>
    </xf>
    <xf numFmtId="0" fontId="23" fillId="0" borderId="30" xfId="0" applyFont="1" applyBorder="1" applyAlignment="1">
      <alignment horizontal="center" vertical="top" wrapText="1"/>
    </xf>
    <xf numFmtId="4" fontId="23" fillId="0" borderId="30" xfId="0" applyNumberFormat="1" applyFont="1" applyBorder="1" applyAlignment="1">
      <alignment horizontal="center" vertical="top" wrapText="1"/>
    </xf>
    <xf numFmtId="164" fontId="2" fillId="0" borderId="0" xfId="0" applyNumberFormat="1" applyFont="1" applyAlignment="1">
      <alignment vertical="top" wrapText="1"/>
    </xf>
    <xf numFmtId="0" fontId="2" fillId="0" borderId="41" xfId="0" applyFont="1" applyBorder="1" applyAlignment="1">
      <alignment vertical="top" wrapText="1"/>
    </xf>
    <xf numFmtId="0" fontId="2" fillId="0" borderId="28" xfId="0" applyFont="1" applyBorder="1" applyAlignment="1">
      <alignment vertical="top" wrapText="1"/>
    </xf>
    <xf numFmtId="0" fontId="7" fillId="0" borderId="29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4" fontId="7" fillId="0" borderId="30" xfId="0" applyNumberFormat="1" applyFont="1" applyBorder="1" applyAlignment="1">
      <alignment horizontal="right" vertical="top" wrapText="1"/>
    </xf>
    <xf numFmtId="0" fontId="2" fillId="0" borderId="29" xfId="0" applyFont="1" applyBorder="1" applyAlignment="1">
      <alignment vertical="top" wrapText="1"/>
    </xf>
    <xf numFmtId="14" fontId="2" fillId="0" borderId="41" xfId="0" applyNumberFormat="1" applyFont="1" applyBorder="1" applyAlignment="1">
      <alignment horizontal="center" vertical="top" wrapText="1"/>
    </xf>
    <xf numFmtId="0" fontId="2" fillId="0" borderId="29" xfId="0" applyFont="1" applyBorder="1" applyAlignment="1">
      <alignment vertical="center"/>
    </xf>
    <xf numFmtId="4" fontId="2" fillId="0" borderId="30" xfId="0" applyNumberFormat="1" applyFont="1" applyBorder="1" applyAlignment="1">
      <alignment horizontal="right" vertical="top" wrapText="1"/>
    </xf>
    <xf numFmtId="164" fontId="2" fillId="0" borderId="30" xfId="0" applyNumberFormat="1" applyFont="1" applyBorder="1" applyAlignment="1">
      <alignment vertical="top" wrapText="1"/>
    </xf>
    <xf numFmtId="167" fontId="7" fillId="0" borderId="29" xfId="0" applyNumberFormat="1" applyFont="1" applyBorder="1" applyAlignment="1">
      <alignment horizontal="right" vertical="top" wrapText="1"/>
    </xf>
    <xf numFmtId="0" fontId="2" fillId="9" borderId="33" xfId="0" applyFont="1" applyFill="1" applyBorder="1" applyAlignment="1">
      <alignment horizontal="left" wrapText="1" readingOrder="1"/>
    </xf>
    <xf numFmtId="0" fontId="2" fillId="0" borderId="41" xfId="0" applyFont="1" applyBorder="1" applyAlignment="1">
      <alignment horizontal="center" vertical="top" wrapText="1"/>
    </xf>
    <xf numFmtId="14" fontId="2" fillId="0" borderId="41" xfId="0" applyNumberFormat="1" applyFont="1" applyBorder="1" applyAlignment="1">
      <alignment vertical="top" wrapText="1"/>
    </xf>
    <xf numFmtId="4" fontId="2" fillId="0" borderId="30" xfId="0" applyNumberFormat="1" applyFont="1" applyBorder="1" applyAlignment="1">
      <alignment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top"/>
    </xf>
    <xf numFmtId="164" fontId="2" fillId="0" borderId="43" xfId="0" applyNumberFormat="1" applyFont="1" applyBorder="1" applyAlignment="1">
      <alignment vertical="top"/>
    </xf>
    <xf numFmtId="164" fontId="2" fillId="0" borderId="44" xfId="0" applyNumberFormat="1" applyFont="1" applyBorder="1" applyAlignment="1">
      <alignment vertical="top"/>
    </xf>
    <xf numFmtId="0" fontId="5" fillId="0" borderId="41" xfId="0" applyFont="1" applyBorder="1" applyAlignment="1">
      <alignment vertical="top" wrapText="1"/>
    </xf>
    <xf numFmtId="0" fontId="5" fillId="0" borderId="28" xfId="0" applyFont="1" applyBorder="1" applyAlignment="1">
      <alignment vertical="top" wrapText="1"/>
    </xf>
    <xf numFmtId="0" fontId="5" fillId="0" borderId="29" xfId="0" applyFont="1" applyBorder="1" applyAlignment="1">
      <alignment vertical="top" wrapText="1"/>
    </xf>
    <xf numFmtId="0" fontId="5" fillId="0" borderId="30" xfId="0" applyFont="1" applyBorder="1" applyAlignment="1">
      <alignment vertical="top" wrapText="1"/>
    </xf>
    <xf numFmtId="4" fontId="5" fillId="0" borderId="30" xfId="0" applyNumberFormat="1" applyFont="1" applyBorder="1" applyAlignment="1">
      <alignment horizontal="right" vertical="top" wrapText="1"/>
    </xf>
    <xf numFmtId="4" fontId="2" fillId="0" borderId="0" xfId="0" applyNumberFormat="1" applyFont="1" applyAlignment="1">
      <alignment vertical="top" wrapText="1"/>
    </xf>
    <xf numFmtId="0" fontId="5" fillId="0" borderId="0" xfId="0" applyFont="1" applyAlignment="1">
      <alignment vertical="top" wrapText="1"/>
    </xf>
    <xf numFmtId="4" fontId="5" fillId="0" borderId="0" xfId="0" applyNumberFormat="1" applyFont="1" applyAlignment="1">
      <alignment horizontal="right" vertical="top" wrapText="1"/>
    </xf>
    <xf numFmtId="4" fontId="2" fillId="0" borderId="0" xfId="0" applyNumberFormat="1" applyFont="1" applyAlignment="1">
      <alignment horizontal="right" vertical="top" wrapText="1"/>
    </xf>
    <xf numFmtId="0" fontId="5" fillId="0" borderId="7" xfId="0" applyFont="1" applyBorder="1" applyAlignment="1">
      <alignment vertical="top" wrapText="1"/>
    </xf>
    <xf numFmtId="164" fontId="4" fillId="0" borderId="7" xfId="0" applyNumberFormat="1" applyFont="1" applyBorder="1"/>
    <xf numFmtId="0" fontId="15" fillId="0" borderId="0" xfId="0" applyFont="1" applyAlignment="1">
      <alignment vertical="top"/>
    </xf>
    <xf numFmtId="0" fontId="1" fillId="0" borderId="2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vertical="center"/>
    </xf>
    <xf numFmtId="164" fontId="1" fillId="3" borderId="11" xfId="0" applyNumberFormat="1" applyFont="1" applyFill="1" applyBorder="1" applyAlignment="1">
      <alignment vertical="center"/>
    </xf>
    <xf numFmtId="164" fontId="1" fillId="3" borderId="12" xfId="0" applyNumberFormat="1" applyFont="1" applyFill="1" applyBorder="1" applyAlignment="1">
      <alignment vertical="center"/>
    </xf>
    <xf numFmtId="164" fontId="10" fillId="0" borderId="0" xfId="0" applyNumberFormat="1" applyFont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vertical="center"/>
    </xf>
    <xf numFmtId="164" fontId="1" fillId="3" borderId="13" xfId="0" applyNumberFormat="1" applyFont="1" applyFill="1" applyBorder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164" fontId="2" fillId="0" borderId="25" xfId="0" applyNumberFormat="1" applyFont="1" applyBorder="1" applyAlignment="1">
      <alignment vertical="top"/>
    </xf>
    <xf numFmtId="164" fontId="7" fillId="0" borderId="25" xfId="0" applyNumberFormat="1" applyFont="1" applyBorder="1" applyAlignment="1">
      <alignment vertical="top"/>
    </xf>
    <xf numFmtId="164" fontId="4" fillId="3" borderId="11" xfId="0" applyNumberFormat="1" applyFont="1" applyFill="1" applyBorder="1" applyAlignment="1">
      <alignment vertical="center"/>
    </xf>
    <xf numFmtId="0" fontId="1" fillId="3" borderId="13" xfId="0" applyFont="1" applyFill="1" applyBorder="1" applyAlignment="1">
      <alignment horizontal="left" vertical="center"/>
    </xf>
    <xf numFmtId="164" fontId="4" fillId="3" borderId="13" xfId="0" applyNumberFormat="1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top"/>
    </xf>
    <xf numFmtId="0" fontId="1" fillId="3" borderId="11" xfId="0" applyFont="1" applyFill="1" applyBorder="1" applyAlignment="1">
      <alignment horizontal="left" vertical="top"/>
    </xf>
    <xf numFmtId="164" fontId="4" fillId="3" borderId="11" xfId="0" applyNumberFormat="1" applyFont="1" applyFill="1" applyBorder="1" applyAlignment="1">
      <alignment vertical="top"/>
    </xf>
    <xf numFmtId="0" fontId="1" fillId="3" borderId="13" xfId="0" applyFont="1" applyFill="1" applyBorder="1" applyAlignment="1">
      <alignment horizontal="left" vertical="top"/>
    </xf>
    <xf numFmtId="164" fontId="4" fillId="3" borderId="13" xfId="0" applyNumberFormat="1" applyFont="1" applyFill="1" applyBorder="1" applyAlignment="1">
      <alignment vertical="top"/>
    </xf>
    <xf numFmtId="49" fontId="5" fillId="0" borderId="0" xfId="0" applyNumberFormat="1" applyFont="1" applyAlignment="1">
      <alignment vertical="top"/>
    </xf>
    <xf numFmtId="164" fontId="5" fillId="0" borderId="25" xfId="0" applyNumberFormat="1" applyFont="1" applyBorder="1" applyAlignment="1">
      <alignment vertical="top"/>
    </xf>
    <xf numFmtId="164" fontId="28" fillId="0" borderId="0" xfId="0" applyNumberFormat="1" applyFont="1" applyAlignment="1">
      <alignment vertical="top"/>
    </xf>
    <xf numFmtId="164" fontId="28" fillId="0" borderId="25" xfId="0" applyNumberFormat="1" applyFont="1" applyBorder="1" applyAlignment="1">
      <alignment vertical="top"/>
    </xf>
    <xf numFmtId="0" fontId="1" fillId="0" borderId="0" xfId="0" applyFont="1" applyAlignment="1">
      <alignment horizontal="left" vertical="top"/>
    </xf>
    <xf numFmtId="164" fontId="1" fillId="13" borderId="27" xfId="0" applyNumberFormat="1" applyFont="1" applyFill="1" applyBorder="1" applyAlignment="1">
      <alignment vertical="top"/>
    </xf>
    <xf numFmtId="164" fontId="1" fillId="3" borderId="39" xfId="0" applyNumberFormat="1" applyFont="1" applyFill="1" applyBorder="1" applyAlignment="1">
      <alignment vertical="top"/>
    </xf>
    <xf numFmtId="164" fontId="1" fillId="3" borderId="40" xfId="0" applyNumberFormat="1" applyFont="1" applyFill="1" applyBorder="1" applyAlignment="1">
      <alignment vertical="top"/>
    </xf>
    <xf numFmtId="164" fontId="2" fillId="0" borderId="0" xfId="0" applyNumberFormat="1" applyFont="1" applyAlignment="1">
      <alignment horizontal="right" vertical="top"/>
    </xf>
    <xf numFmtId="164" fontId="1" fillId="11" borderId="12" xfId="0" applyNumberFormat="1" applyFont="1" applyFill="1" applyBorder="1" applyAlignment="1">
      <alignment horizontal="center" vertical="center"/>
    </xf>
    <xf numFmtId="164" fontId="1" fillId="10" borderId="12" xfId="0" applyNumberFormat="1" applyFont="1" applyFill="1" applyBorder="1" applyAlignment="1">
      <alignment horizontal="center" vertical="center" wrapText="1"/>
    </xf>
    <xf numFmtId="164" fontId="1" fillId="12" borderId="12" xfId="0" applyNumberFormat="1" applyFont="1" applyFill="1" applyBorder="1" applyAlignment="1">
      <alignment horizontal="center" vertical="center" wrapText="1"/>
    </xf>
    <xf numFmtId="164" fontId="1" fillId="12" borderId="34" xfId="0" applyNumberFormat="1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vertical="center"/>
    </xf>
    <xf numFmtId="164" fontId="1" fillId="3" borderId="34" xfId="0" applyNumberFormat="1" applyFont="1" applyFill="1" applyBorder="1" applyAlignment="1">
      <alignment vertical="center"/>
    </xf>
    <xf numFmtId="164" fontId="1" fillId="3" borderId="35" xfId="0" applyNumberFormat="1" applyFont="1" applyFill="1" applyBorder="1" applyAlignment="1">
      <alignment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vertical="center"/>
    </xf>
    <xf numFmtId="164" fontId="1" fillId="3" borderId="37" xfId="0" applyNumberFormat="1" applyFont="1" applyFill="1" applyBorder="1" applyAlignment="1">
      <alignment vertical="center"/>
    </xf>
    <xf numFmtId="0" fontId="1" fillId="3" borderId="27" xfId="0" applyFont="1" applyFill="1" applyBorder="1" applyAlignment="1">
      <alignment horizontal="center" vertical="top"/>
    </xf>
    <xf numFmtId="0" fontId="1" fillId="3" borderId="27" xfId="0" applyFont="1" applyFill="1" applyBorder="1" applyAlignment="1">
      <alignment vertical="top"/>
    </xf>
    <xf numFmtId="164" fontId="1" fillId="3" borderId="34" xfId="0" applyNumberFormat="1" applyFont="1" applyFill="1" applyBorder="1" applyAlignment="1">
      <alignment vertical="top"/>
    </xf>
    <xf numFmtId="164" fontId="1" fillId="0" borderId="0" xfId="0" applyNumberFormat="1" applyFont="1" applyAlignment="1">
      <alignment horizontal="right" vertical="top"/>
    </xf>
    <xf numFmtId="164" fontId="1" fillId="3" borderId="35" xfId="0" applyNumberFormat="1" applyFont="1" applyFill="1" applyBorder="1" applyAlignment="1">
      <alignment vertical="top"/>
    </xf>
    <xf numFmtId="0" fontId="1" fillId="3" borderId="36" xfId="0" applyFont="1" applyFill="1" applyBorder="1" applyAlignment="1">
      <alignment horizontal="center" vertical="top"/>
    </xf>
    <xf numFmtId="0" fontId="1" fillId="3" borderId="36" xfId="0" applyFont="1" applyFill="1" applyBorder="1" applyAlignment="1">
      <alignment vertical="top"/>
    </xf>
    <xf numFmtId="164" fontId="1" fillId="3" borderId="37" xfId="0" applyNumberFormat="1" applyFont="1" applyFill="1" applyBorder="1" applyAlignment="1">
      <alignment vertical="top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vertical="top"/>
    </xf>
    <xf numFmtId="164" fontId="2" fillId="0" borderId="26" xfId="0" applyNumberFormat="1" applyFont="1" applyBorder="1" applyAlignment="1">
      <alignment vertical="top"/>
    </xf>
    <xf numFmtId="164" fontId="2" fillId="0" borderId="3" xfId="0" applyNumberFormat="1" applyFont="1" applyBorder="1" applyAlignment="1">
      <alignment vertical="top"/>
    </xf>
    <xf numFmtId="0" fontId="7" fillId="0" borderId="0" xfId="0" applyFont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vertical="center"/>
    </xf>
    <xf numFmtId="164" fontId="1" fillId="2" borderId="13" xfId="0" applyNumberFormat="1" applyFont="1" applyFill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3" borderId="12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horizontal="left" vertical="center" wrapText="1"/>
    </xf>
    <xf numFmtId="164" fontId="1" fillId="3" borderId="12" xfId="0" applyNumberFormat="1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horizontal="left" vertical="center" wrapText="1"/>
    </xf>
    <xf numFmtId="164" fontId="1" fillId="3" borderId="11" xfId="0" applyNumberFormat="1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horizontal="left" vertical="center" wrapText="1"/>
    </xf>
    <xf numFmtId="164" fontId="1" fillId="3" borderId="13" xfId="0" applyNumberFormat="1" applyFont="1" applyFill="1" applyBorder="1" applyAlignment="1">
      <alignment vertical="center" wrapText="1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left" vertical="top" wrapText="1"/>
    </xf>
    <xf numFmtId="164" fontId="1" fillId="3" borderId="12" xfId="0" applyNumberFormat="1" applyFont="1" applyFill="1" applyBorder="1" applyAlignment="1">
      <alignment vertical="top" wrapText="1"/>
    </xf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left" vertical="top" wrapText="1"/>
    </xf>
    <xf numFmtId="164" fontId="1" fillId="3" borderId="11" xfId="0" applyNumberFormat="1" applyFont="1" applyFill="1" applyBorder="1" applyAlignment="1">
      <alignment vertical="top" wrapText="1"/>
    </xf>
    <xf numFmtId="0" fontId="1" fillId="3" borderId="13" xfId="0" applyFont="1" applyFill="1" applyBorder="1" applyAlignment="1">
      <alignment vertical="top" wrapText="1"/>
    </xf>
    <xf numFmtId="0" fontId="1" fillId="3" borderId="13" xfId="0" applyFont="1" applyFill="1" applyBorder="1" applyAlignment="1">
      <alignment horizontal="left" vertical="top" wrapText="1"/>
    </xf>
    <xf numFmtId="164" fontId="1" fillId="3" borderId="13" xfId="0" applyNumberFormat="1" applyFont="1" applyFill="1" applyBorder="1" applyAlignment="1">
      <alignment vertical="top" wrapText="1"/>
    </xf>
    <xf numFmtId="0" fontId="3" fillId="0" borderId="0" xfId="0" applyFont="1" applyAlignment="1">
      <alignment horizontal="center" vertical="top"/>
    </xf>
    <xf numFmtId="164" fontId="12" fillId="0" borderId="0" xfId="0" applyNumberFormat="1" applyFont="1" applyAlignment="1">
      <alignment vertical="top"/>
    </xf>
    <xf numFmtId="164" fontId="3" fillId="0" borderId="2" xfId="0" applyNumberFormat="1" applyFont="1" applyBorder="1" applyAlignment="1">
      <alignment horizontal="center" vertical="top"/>
    </xf>
    <xf numFmtId="164" fontId="3" fillId="0" borderId="7" xfId="0" applyNumberFormat="1" applyFont="1" applyBorder="1" applyAlignment="1">
      <alignment horizontal="center" vertical="top"/>
    </xf>
    <xf numFmtId="164" fontId="3" fillId="0" borderId="9" xfId="0" applyNumberFormat="1" applyFont="1" applyBorder="1" applyAlignment="1">
      <alignment horizontal="center" vertical="top"/>
    </xf>
    <xf numFmtId="49" fontId="3" fillId="0" borderId="10" xfId="0" applyNumberFormat="1" applyFont="1" applyBorder="1" applyAlignment="1">
      <alignment horizontal="center" vertical="top"/>
    </xf>
    <xf numFmtId="164" fontId="3" fillId="2" borderId="11" xfId="0" applyNumberFormat="1" applyFont="1" applyFill="1" applyBorder="1" applyAlignment="1">
      <alignment horizontal="right" vertical="top"/>
    </xf>
    <xf numFmtId="164" fontId="3" fillId="3" borderId="11" xfId="0" applyNumberFormat="1" applyFont="1" applyFill="1" applyBorder="1" applyAlignment="1">
      <alignment vertical="top"/>
    </xf>
    <xf numFmtId="164" fontId="12" fillId="0" borderId="7" xfId="0" applyNumberFormat="1" applyFont="1" applyBorder="1" applyAlignment="1">
      <alignment horizontal="center" vertical="top"/>
    </xf>
    <xf numFmtId="164" fontId="12" fillId="0" borderId="9" xfId="0" applyNumberFormat="1" applyFont="1" applyBorder="1" applyAlignment="1">
      <alignment vertical="top"/>
    </xf>
    <xf numFmtId="164" fontId="12" fillId="0" borderId="9" xfId="0" applyNumberFormat="1" applyFont="1" applyBorder="1" applyAlignment="1">
      <alignment horizontal="center" vertical="top"/>
    </xf>
    <xf numFmtId="164" fontId="1" fillId="0" borderId="8" xfId="0" applyNumberFormat="1" applyFont="1" applyBorder="1" applyAlignment="1">
      <alignment vertical="top"/>
    </xf>
    <xf numFmtId="164" fontId="3" fillId="2" borderId="11" xfId="0" applyNumberFormat="1" applyFont="1" applyFill="1" applyBorder="1" applyAlignment="1">
      <alignment vertical="top"/>
    </xf>
    <xf numFmtId="0" fontId="2" fillId="0" borderId="8" xfId="0" applyFont="1" applyBorder="1" applyAlignment="1">
      <alignment vertical="top"/>
    </xf>
    <xf numFmtId="164" fontId="31" fillId="0" borderId="7" xfId="0" applyNumberFormat="1" applyFont="1" applyBorder="1" applyAlignment="1">
      <alignment horizontal="center" vertical="top"/>
    </xf>
    <xf numFmtId="0" fontId="31" fillId="0" borderId="7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32" fillId="0" borderId="0" xfId="0" applyFont="1" applyAlignment="1">
      <alignment vertical="top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33" fillId="0" borderId="18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21" fillId="0" borderId="1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 wrapText="1"/>
    </xf>
    <xf numFmtId="0" fontId="33" fillId="0" borderId="19" xfId="0" applyFont="1" applyBorder="1" applyAlignment="1">
      <alignment horizontal="center" vertical="top" wrapText="1"/>
    </xf>
    <xf numFmtId="166" fontId="33" fillId="0" borderId="10" xfId="0" applyNumberFormat="1" applyFont="1" applyBorder="1" applyAlignment="1">
      <alignment horizontal="center" vertical="top"/>
    </xf>
    <xf numFmtId="166" fontId="9" fillId="0" borderId="10" xfId="0" applyNumberFormat="1" applyFont="1" applyBorder="1" applyAlignment="1">
      <alignment horizontal="center" vertical="top"/>
    </xf>
    <xf numFmtId="4" fontId="2" fillId="0" borderId="0" xfId="0" applyNumberFormat="1" applyFont="1" applyAlignment="1">
      <alignment horizontal="center" vertical="center"/>
    </xf>
    <xf numFmtId="164" fontId="1" fillId="6" borderId="11" xfId="0" applyNumberFormat="1" applyFont="1" applyFill="1" applyBorder="1"/>
    <xf numFmtId="40" fontId="1" fillId="6" borderId="11" xfId="0" applyNumberFormat="1" applyFont="1" applyFill="1" applyBorder="1" applyAlignment="1">
      <alignment horizontal="right"/>
    </xf>
    <xf numFmtId="40" fontId="9" fillId="6" borderId="11" xfId="0" applyNumberFormat="1" applyFont="1" applyFill="1" applyBorder="1" applyAlignment="1">
      <alignment horizontal="right"/>
    </xf>
    <xf numFmtId="40" fontId="33" fillId="6" borderId="11" xfId="0" applyNumberFormat="1" applyFont="1" applyFill="1" applyBorder="1" applyAlignment="1">
      <alignment horizontal="right"/>
    </xf>
    <xf numFmtId="4" fontId="1" fillId="0" borderId="0" xfId="0" applyNumberFormat="1" applyFont="1" applyAlignment="1">
      <alignment vertical="center"/>
    </xf>
    <xf numFmtId="164" fontId="1" fillId="2" borderId="11" xfId="0" applyNumberFormat="1" applyFont="1" applyFill="1" applyBorder="1"/>
    <xf numFmtId="40" fontId="1" fillId="2" borderId="11" xfId="0" applyNumberFormat="1" applyFont="1" applyFill="1" applyBorder="1" applyAlignment="1">
      <alignment horizontal="right"/>
    </xf>
    <xf numFmtId="40" fontId="9" fillId="2" borderId="11" xfId="0" applyNumberFormat="1" applyFont="1" applyFill="1" applyBorder="1" applyAlignment="1">
      <alignment horizontal="right"/>
    </xf>
    <xf numFmtId="40" fontId="33" fillId="2" borderId="11" xfId="0" applyNumberFormat="1" applyFont="1" applyFill="1" applyBorder="1" applyAlignment="1">
      <alignment horizontal="right"/>
    </xf>
    <xf numFmtId="40" fontId="2" fillId="0" borderId="7" xfId="0" applyNumberFormat="1" applyFont="1" applyBorder="1" applyAlignment="1">
      <alignment horizontal="right"/>
    </xf>
    <xf numFmtId="40" fontId="25" fillId="0" borderId="7" xfId="0" applyNumberFormat="1" applyFont="1" applyBorder="1" applyAlignment="1">
      <alignment horizontal="right"/>
    </xf>
    <xf numFmtId="40" fontId="1" fillId="0" borderId="7" xfId="0" applyNumberFormat="1" applyFont="1" applyBorder="1" applyAlignment="1">
      <alignment horizontal="right"/>
    </xf>
    <xf numFmtId="40" fontId="34" fillId="0" borderId="7" xfId="0" applyNumberFormat="1" applyFont="1" applyBorder="1" applyAlignment="1">
      <alignment horizontal="right"/>
    </xf>
    <xf numFmtId="40" fontId="9" fillId="0" borderId="7" xfId="0" applyNumberFormat="1" applyFont="1" applyBorder="1"/>
    <xf numFmtId="40" fontId="33" fillId="0" borderId="7" xfId="0" applyNumberFormat="1" applyFont="1" applyBorder="1"/>
    <xf numFmtId="40" fontId="2" fillId="0" borderId="7" xfId="0" applyNumberFormat="1" applyFont="1" applyBorder="1"/>
    <xf numFmtId="0" fontId="1" fillId="2" borderId="11" xfId="0" applyFont="1" applyFill="1" applyBorder="1"/>
    <xf numFmtId="40" fontId="1" fillId="2" borderId="11" xfId="0" applyNumberFormat="1" applyFont="1" applyFill="1" applyBorder="1"/>
    <xf numFmtId="0" fontId="35" fillId="0" borderId="0" xfId="0" applyFont="1"/>
    <xf numFmtId="0" fontId="1" fillId="7" borderId="11" xfId="0" applyFont="1" applyFill="1" applyBorder="1"/>
    <xf numFmtId="40" fontId="1" fillId="7" borderId="11" xfId="0" applyNumberFormat="1" applyFont="1" applyFill="1" applyBorder="1" applyAlignment="1">
      <alignment horizontal="right"/>
    </xf>
    <xf numFmtId="40" fontId="9" fillId="7" borderId="11" xfId="0" applyNumberFormat="1" applyFont="1" applyFill="1" applyBorder="1" applyAlignment="1">
      <alignment horizontal="right"/>
    </xf>
    <xf numFmtId="40" fontId="33" fillId="7" borderId="11" xfId="0" applyNumberFormat="1" applyFont="1" applyFill="1" applyBorder="1" applyAlignment="1">
      <alignment horizontal="right"/>
    </xf>
    <xf numFmtId="40" fontId="1" fillId="7" borderId="11" xfId="0" applyNumberFormat="1" applyFont="1" applyFill="1" applyBorder="1"/>
    <xf numFmtId="40" fontId="9" fillId="0" borderId="7" xfId="0" applyNumberFormat="1" applyFont="1" applyBorder="1" applyAlignment="1">
      <alignment horizontal="right"/>
    </xf>
    <xf numFmtId="40" fontId="33" fillId="0" borderId="7" xfId="0" applyNumberFormat="1" applyFont="1" applyBorder="1" applyAlignment="1">
      <alignment horizontal="right"/>
    </xf>
    <xf numFmtId="40" fontId="9" fillId="0" borderId="14" xfId="0" applyNumberFormat="1" applyFont="1" applyBorder="1" applyAlignment="1">
      <alignment horizontal="right"/>
    </xf>
    <xf numFmtId="40" fontId="33" fillId="0" borderId="14" xfId="0" applyNumberFormat="1" applyFont="1" applyBorder="1" applyAlignment="1">
      <alignment horizontal="right"/>
    </xf>
    <xf numFmtId="40" fontId="1" fillId="0" borderId="14" xfId="0" applyNumberFormat="1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40" fontId="1" fillId="4" borderId="20" xfId="0" applyNumberFormat="1" applyFont="1" applyFill="1" applyBorder="1" applyAlignment="1">
      <alignment horizontal="center" vertical="center"/>
    </xf>
    <xf numFmtId="10" fontId="1" fillId="0" borderId="20" xfId="0" applyNumberFormat="1" applyFont="1" applyBorder="1" applyAlignment="1">
      <alignment horizontal="center" vertical="center"/>
    </xf>
    <xf numFmtId="40" fontId="9" fillId="4" borderId="20" xfId="0" applyNumberFormat="1" applyFont="1" applyFill="1" applyBorder="1" applyAlignment="1">
      <alignment horizontal="center" vertical="center"/>
    </xf>
    <xf numFmtId="40" fontId="33" fillId="4" borderId="20" xfId="0" applyNumberFormat="1" applyFont="1" applyFill="1" applyBorder="1" applyAlignment="1">
      <alignment horizontal="center" vertical="center"/>
    </xf>
    <xf numFmtId="164" fontId="25" fillId="0" borderId="7" xfId="0" applyNumberFormat="1" applyFont="1" applyBorder="1" applyAlignment="1">
      <alignment horizontal="center" vertical="center" wrapText="1"/>
    </xf>
    <xf numFmtId="164" fontId="34" fillId="0" borderId="7" xfId="0" applyNumberFormat="1" applyFont="1" applyBorder="1" applyAlignment="1">
      <alignment horizontal="center" vertical="center" wrapText="1"/>
    </xf>
    <xf numFmtId="164" fontId="25" fillId="0" borderId="7" xfId="0" applyNumberFormat="1" applyFont="1" applyBorder="1" applyAlignment="1">
      <alignment horizontal="center" wrapText="1"/>
    </xf>
    <xf numFmtId="164" fontId="34" fillId="0" borderId="7" xfId="0" applyNumberFormat="1" applyFont="1" applyBorder="1" applyAlignment="1">
      <alignment horizontal="center" wrapText="1"/>
    </xf>
    <xf numFmtId="4" fontId="9" fillId="3" borderId="11" xfId="0" applyNumberFormat="1" applyFont="1" applyFill="1" applyBorder="1" applyAlignment="1">
      <alignment horizontal="right" wrapText="1"/>
    </xf>
    <xf numFmtId="4" fontId="33" fillId="3" borderId="11" xfId="0" applyNumberFormat="1" applyFont="1" applyFill="1" applyBorder="1" applyAlignment="1">
      <alignment horizontal="right" wrapText="1"/>
    </xf>
    <xf numFmtId="4" fontId="25" fillId="0" borderId="7" xfId="0" applyNumberFormat="1" applyFont="1" applyBorder="1" applyAlignment="1">
      <alignment horizontal="right" wrapText="1"/>
    </xf>
    <xf numFmtId="4" fontId="34" fillId="0" borderId="7" xfId="0" applyNumberFormat="1" applyFont="1" applyBorder="1" applyAlignment="1">
      <alignment horizontal="right" wrapText="1"/>
    </xf>
    <xf numFmtId="4" fontId="2" fillId="0" borderId="7" xfId="0" applyNumberFormat="1" applyFont="1" applyBorder="1"/>
    <xf numFmtId="164" fontId="25" fillId="0" borderId="7" xfId="0" applyNumberFormat="1" applyFont="1" applyBorder="1" applyAlignment="1">
      <alignment horizontal="right" wrapText="1"/>
    </xf>
    <xf numFmtId="164" fontId="34" fillId="0" borderId="7" xfId="0" applyNumberFormat="1" applyFont="1" applyBorder="1" applyAlignment="1">
      <alignment horizontal="right" wrapText="1"/>
    </xf>
    <xf numFmtId="40" fontId="33" fillId="0" borderId="14" xfId="0" applyNumberFormat="1" applyFont="1" applyBorder="1" applyAlignment="1">
      <alignment horizontal="right" wrapText="1"/>
    </xf>
    <xf numFmtId="164" fontId="9" fillId="0" borderId="14" xfId="0" applyNumberFormat="1" applyFont="1" applyBorder="1" applyAlignment="1">
      <alignment horizontal="right" wrapText="1"/>
    </xf>
    <xf numFmtId="164" fontId="33" fillId="0" borderId="14" xfId="0" applyNumberFormat="1" applyFont="1" applyBorder="1" applyAlignment="1">
      <alignment horizontal="right" wrapText="1"/>
    </xf>
    <xf numFmtId="0" fontId="1" fillId="0" borderId="16" xfId="0" applyFont="1" applyBorder="1" applyAlignment="1">
      <alignment horizontal="center" vertical="center"/>
    </xf>
    <xf numFmtId="40" fontId="1" fillId="4" borderId="16" xfId="0" applyNumberFormat="1" applyFont="1" applyFill="1" applyBorder="1" applyAlignment="1">
      <alignment horizontal="center"/>
    </xf>
    <xf numFmtId="10" fontId="9" fillId="4" borderId="16" xfId="0" applyNumberFormat="1" applyFont="1" applyFill="1" applyBorder="1" applyAlignment="1">
      <alignment horizontal="center"/>
    </xf>
    <xf numFmtId="10" fontId="1" fillId="5" borderId="16" xfId="0" applyNumberFormat="1" applyFont="1" applyFill="1" applyBorder="1" applyAlignment="1">
      <alignment horizontal="center"/>
    </xf>
    <xf numFmtId="10" fontId="1" fillId="4" borderId="16" xfId="0" applyNumberFormat="1" applyFont="1" applyFill="1" applyBorder="1" applyAlignment="1">
      <alignment horizontal="center"/>
    </xf>
    <xf numFmtId="10" fontId="33" fillId="4" borderId="16" xfId="0" applyNumberFormat="1" applyFont="1" applyFill="1" applyBorder="1" applyAlignment="1">
      <alignment horizontal="center"/>
    </xf>
    <xf numFmtId="40" fontId="9" fillId="4" borderId="16" xfId="0" applyNumberFormat="1" applyFont="1" applyFill="1" applyBorder="1" applyAlignment="1">
      <alignment horizontal="center"/>
    </xf>
    <xf numFmtId="40" fontId="33" fillId="4" borderId="16" xfId="0" applyNumberFormat="1" applyFont="1" applyFill="1" applyBorder="1" applyAlignment="1">
      <alignment horizontal="center"/>
    </xf>
    <xf numFmtId="40" fontId="1" fillId="4" borderId="21" xfId="0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left" vertical="center"/>
    </xf>
    <xf numFmtId="40" fontId="2" fillId="0" borderId="17" xfId="0" applyNumberFormat="1" applyFont="1" applyBorder="1" applyAlignment="1">
      <alignment horizontal="center"/>
    </xf>
    <xf numFmtId="10" fontId="1" fillId="0" borderId="17" xfId="0" applyNumberFormat="1" applyFont="1" applyBorder="1" applyAlignment="1">
      <alignment horizontal="center"/>
    </xf>
    <xf numFmtId="10" fontId="9" fillId="0" borderId="17" xfId="0" applyNumberFormat="1" applyFont="1" applyBorder="1" applyAlignment="1">
      <alignment horizontal="center"/>
    </xf>
    <xf numFmtId="10" fontId="33" fillId="0" borderId="17" xfId="0" applyNumberFormat="1" applyFont="1" applyBorder="1" applyAlignment="1">
      <alignment horizontal="center"/>
    </xf>
    <xf numFmtId="40" fontId="9" fillId="0" borderId="17" xfId="0" applyNumberFormat="1" applyFont="1" applyBorder="1" applyAlignment="1">
      <alignment horizontal="center"/>
    </xf>
    <xf numFmtId="40" fontId="33" fillId="0" borderId="17" xfId="0" applyNumberFormat="1" applyFont="1" applyBorder="1" applyAlignment="1">
      <alignment horizontal="center"/>
    </xf>
    <xf numFmtId="40" fontId="1" fillId="0" borderId="17" xfId="0" applyNumberFormat="1" applyFont="1" applyBorder="1" applyAlignment="1">
      <alignment horizontal="center"/>
    </xf>
    <xf numFmtId="40" fontId="2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10" fontId="9" fillId="0" borderId="0" xfId="0" applyNumberFormat="1" applyFont="1" applyAlignment="1">
      <alignment horizontal="center"/>
    </xf>
    <xf numFmtId="10" fontId="33" fillId="0" borderId="0" xfId="0" applyNumberFormat="1" applyFont="1" applyAlignment="1">
      <alignment horizontal="center"/>
    </xf>
    <xf numFmtId="40" fontId="9" fillId="0" borderId="0" xfId="0" applyNumberFormat="1" applyFont="1" applyAlignment="1">
      <alignment horizontal="center"/>
    </xf>
    <xf numFmtId="40" fontId="33" fillId="0" borderId="0" xfId="0" applyNumberFormat="1" applyFont="1" applyAlignment="1">
      <alignment horizontal="center"/>
    </xf>
    <xf numFmtId="40" fontId="1" fillId="0" borderId="0" xfId="0" applyNumberFormat="1" applyFont="1" applyAlignment="1">
      <alignment horizontal="center"/>
    </xf>
    <xf numFmtId="4" fontId="9" fillId="0" borderId="7" xfId="0" applyNumberFormat="1" applyFont="1" applyBorder="1" applyAlignment="1">
      <alignment horizontal="right" wrapText="1"/>
    </xf>
    <xf numFmtId="4" fontId="33" fillId="0" borderId="7" xfId="0" applyNumberFormat="1" applyFont="1" applyBorder="1" applyAlignment="1">
      <alignment horizontal="right" wrapText="1"/>
    </xf>
    <xf numFmtId="4" fontId="1" fillId="0" borderId="7" xfId="0" applyNumberFormat="1" applyFont="1" applyBorder="1"/>
    <xf numFmtId="164" fontId="1" fillId="0" borderId="7" xfId="0" applyNumberFormat="1" applyFont="1" applyBorder="1" applyAlignment="1">
      <alignment horizontal="right" wrapText="1"/>
    </xf>
    <xf numFmtId="164" fontId="9" fillId="0" borderId="7" xfId="0" applyNumberFormat="1" applyFont="1" applyBorder="1" applyAlignment="1">
      <alignment horizontal="right" wrapText="1"/>
    </xf>
    <xf numFmtId="164" fontId="33" fillId="0" borderId="7" xfId="0" applyNumberFormat="1" applyFont="1" applyBorder="1" applyAlignment="1">
      <alignment horizontal="right" wrapText="1"/>
    </xf>
    <xf numFmtId="40" fontId="1" fillId="4" borderId="16" xfId="0" applyNumberFormat="1" applyFont="1" applyFill="1" applyBorder="1" applyAlignment="1">
      <alignment horizontal="center" vertical="center"/>
    </xf>
    <xf numFmtId="10" fontId="1" fillId="0" borderId="16" xfId="0" applyNumberFormat="1" applyFont="1" applyBorder="1" applyAlignment="1">
      <alignment horizontal="center" vertical="center"/>
    </xf>
    <xf numFmtId="10" fontId="9" fillId="4" borderId="16" xfId="0" applyNumberFormat="1" applyFont="1" applyFill="1" applyBorder="1" applyAlignment="1">
      <alignment horizontal="center" vertical="center"/>
    </xf>
    <xf numFmtId="10" fontId="1" fillId="5" borderId="16" xfId="0" applyNumberFormat="1" applyFont="1" applyFill="1" applyBorder="1" applyAlignment="1">
      <alignment horizontal="center" vertical="center"/>
    </xf>
    <xf numFmtId="10" fontId="1" fillId="4" borderId="16" xfId="0" applyNumberFormat="1" applyFont="1" applyFill="1" applyBorder="1" applyAlignment="1">
      <alignment horizontal="center" vertical="center"/>
    </xf>
    <xf numFmtId="10" fontId="33" fillId="4" borderId="16" xfId="0" applyNumberFormat="1" applyFont="1" applyFill="1" applyBorder="1" applyAlignment="1">
      <alignment horizontal="center" vertical="center"/>
    </xf>
    <xf numFmtId="40" fontId="1" fillId="4" borderId="22" xfId="0" applyNumberFormat="1" applyFont="1" applyFill="1" applyBorder="1" applyAlignment="1">
      <alignment horizontal="center" vertical="center"/>
    </xf>
    <xf numFmtId="164" fontId="4" fillId="18" borderId="0" xfId="0" applyNumberFormat="1" applyFont="1" applyFill="1"/>
    <xf numFmtId="164" fontId="1" fillId="18" borderId="0" xfId="0" applyNumberFormat="1" applyFont="1" applyFill="1"/>
    <xf numFmtId="164" fontId="4" fillId="18" borderId="0" xfId="0" applyNumberFormat="1" applyFont="1" applyFill="1" applyAlignment="1">
      <alignment horizontal="center"/>
    </xf>
    <xf numFmtId="0" fontId="16" fillId="0" borderId="7" xfId="0" applyFont="1" applyBorder="1" applyAlignment="1">
      <alignment horizontal="left" vertical="top"/>
    </xf>
    <xf numFmtId="164" fontId="16" fillId="0" borderId="7" xfId="0" applyNumberFormat="1" applyFont="1" applyBorder="1" applyAlignment="1">
      <alignment vertical="top"/>
    </xf>
    <xf numFmtId="0" fontId="16" fillId="0" borderId="0" xfId="0" applyFont="1" applyAlignment="1">
      <alignment vertical="top"/>
    </xf>
    <xf numFmtId="164" fontId="16" fillId="0" borderId="0" xfId="0" applyNumberFormat="1" applyFont="1" applyAlignment="1">
      <alignment vertical="top"/>
    </xf>
    <xf numFmtId="0" fontId="16" fillId="0" borderId="0" xfId="0" applyFont="1"/>
    <xf numFmtId="169" fontId="16" fillId="0" borderId="0" xfId="0" applyNumberFormat="1" applyFont="1"/>
    <xf numFmtId="164" fontId="16" fillId="0" borderId="0" xfId="0" applyNumberFormat="1" applyFont="1"/>
    <xf numFmtId="164" fontId="38" fillId="0" borderId="7" xfId="0" applyNumberFormat="1" applyFont="1" applyBorder="1" applyAlignment="1">
      <alignment vertical="top"/>
    </xf>
    <xf numFmtId="0" fontId="16" fillId="0" borderId="0" xfId="0" applyFont="1" applyAlignment="1">
      <alignment horizontal="left" vertical="top"/>
    </xf>
    <xf numFmtId="14" fontId="16" fillId="0" borderId="7" xfId="0" applyNumberFormat="1" applyFont="1" applyBorder="1" applyAlignment="1">
      <alignment horizontal="center" vertical="top"/>
    </xf>
    <xf numFmtId="164" fontId="38" fillId="0" borderId="7" xfId="0" applyNumberFormat="1" applyFont="1" applyBorder="1"/>
    <xf numFmtId="164" fontId="2" fillId="0" borderId="0" xfId="1" applyFont="1" applyAlignment="1">
      <alignment vertical="top" wrapText="1"/>
    </xf>
    <xf numFmtId="164" fontId="1" fillId="0" borderId="0" xfId="1" applyFont="1"/>
    <xf numFmtId="14" fontId="38" fillId="0" borderId="7" xfId="0" applyNumberFormat="1" applyFont="1" applyBorder="1" applyAlignment="1">
      <alignment horizontal="center" vertical="top"/>
    </xf>
    <xf numFmtId="0" fontId="38" fillId="0" borderId="0" xfId="0" applyFont="1" applyAlignment="1">
      <alignment vertical="top" wrapText="1"/>
    </xf>
    <xf numFmtId="0" fontId="38" fillId="0" borderId="7" xfId="0" applyFont="1" applyBorder="1" applyAlignment="1">
      <alignment vertical="top" wrapText="1"/>
    </xf>
    <xf numFmtId="4" fontId="38" fillId="0" borderId="0" xfId="0" applyNumberFormat="1" applyFont="1" applyAlignment="1">
      <alignment horizontal="right" vertical="top" wrapText="1"/>
    </xf>
    <xf numFmtId="164" fontId="7" fillId="0" borderId="0" xfId="0" applyNumberFormat="1" applyFont="1" applyAlignment="1">
      <alignment horizontal="left"/>
    </xf>
    <xf numFmtId="43" fontId="1" fillId="0" borderId="0" xfId="0" applyNumberFormat="1" applyFont="1" applyAlignment="1">
      <alignment vertical="top"/>
    </xf>
    <xf numFmtId="0" fontId="2" fillId="0" borderId="11" xfId="0" applyFont="1" applyBorder="1" applyAlignment="1">
      <alignment vertical="top" wrapText="1"/>
    </xf>
    <xf numFmtId="164" fontId="2" fillId="0" borderId="11" xfId="0" applyNumberFormat="1" applyFont="1" applyBorder="1" applyAlignment="1">
      <alignment vertical="top"/>
    </xf>
    <xf numFmtId="164" fontId="25" fillId="0" borderId="11" xfId="0" applyNumberFormat="1" applyFont="1" applyBorder="1" applyAlignment="1">
      <alignment vertical="top"/>
    </xf>
    <xf numFmtId="164" fontId="2" fillId="0" borderId="11" xfId="0" applyNumberFormat="1" applyFont="1" applyBorder="1" applyAlignment="1">
      <alignment horizontal="center" vertical="top"/>
    </xf>
    <xf numFmtId="0" fontId="2" fillId="0" borderId="54" xfId="0" applyFont="1" applyBorder="1" applyAlignment="1">
      <alignment vertical="top" wrapText="1"/>
    </xf>
    <xf numFmtId="164" fontId="2" fillId="0" borderId="54" xfId="0" applyNumberFormat="1" applyFont="1" applyBorder="1" applyAlignment="1">
      <alignment vertical="top"/>
    </xf>
    <xf numFmtId="164" fontId="25" fillId="0" borderId="54" xfId="0" applyNumberFormat="1" applyFont="1" applyBorder="1" applyAlignment="1">
      <alignment vertical="top"/>
    </xf>
    <xf numFmtId="164" fontId="2" fillId="0" borderId="54" xfId="0" applyNumberFormat="1" applyFont="1" applyBorder="1" applyAlignment="1">
      <alignment horizontal="center" vertical="top"/>
    </xf>
    <xf numFmtId="0" fontId="2" fillId="0" borderId="11" xfId="0" applyFont="1" applyBorder="1" applyAlignment="1">
      <alignment vertical="top"/>
    </xf>
    <xf numFmtId="164" fontId="12" fillId="0" borderId="11" xfId="0" applyNumberFormat="1" applyFont="1" applyBorder="1" applyAlignment="1">
      <alignment vertical="top"/>
    </xf>
    <xf numFmtId="0" fontId="16" fillId="0" borderId="27" xfId="0" applyFont="1" applyBorder="1"/>
    <xf numFmtId="40" fontId="1" fillId="0" borderId="27" xfId="0" applyNumberFormat="1" applyFont="1" applyBorder="1" applyAlignment="1">
      <alignment horizontal="left" vertical="center"/>
    </xf>
    <xf numFmtId="10" fontId="1" fillId="0" borderId="27" xfId="0" applyNumberFormat="1" applyFont="1" applyBorder="1" applyAlignment="1">
      <alignment horizontal="right" vertical="center"/>
    </xf>
    <xf numFmtId="10" fontId="1" fillId="0" borderId="27" xfId="0" applyNumberFormat="1" applyFont="1" applyBorder="1" applyAlignment="1">
      <alignment horizontal="left" vertical="center" wrapText="1"/>
    </xf>
    <xf numFmtId="40" fontId="1" fillId="0" borderId="27" xfId="0" applyNumberFormat="1" applyFont="1" applyBorder="1" applyAlignment="1">
      <alignment horizontal="left" vertical="center" wrapText="1"/>
    </xf>
    <xf numFmtId="10" fontId="1" fillId="0" borderId="27" xfId="0" applyNumberFormat="1" applyFont="1" applyBorder="1" applyAlignment="1">
      <alignment horizontal="right" vertical="center" wrapText="1"/>
    </xf>
    <xf numFmtId="0" fontId="42" fillId="0" borderId="0" xfId="0" applyFont="1" applyAlignment="1">
      <alignment horizontal="left" vertical="center"/>
    </xf>
    <xf numFmtId="0" fontId="2" fillId="0" borderId="54" xfId="0" applyFont="1" applyBorder="1" applyAlignment="1">
      <alignment vertical="top"/>
    </xf>
    <xf numFmtId="164" fontId="12" fillId="0" borderId="54" xfId="0" applyNumberFormat="1" applyFont="1" applyBorder="1" applyAlignment="1">
      <alignment vertical="top"/>
    </xf>
    <xf numFmtId="164" fontId="12" fillId="0" borderId="11" xfId="0" applyNumberFormat="1" applyFont="1" applyBorder="1" applyAlignment="1">
      <alignment horizontal="center" vertical="top"/>
    </xf>
    <xf numFmtId="164" fontId="12" fillId="0" borderId="54" xfId="0" applyNumberFormat="1" applyFont="1" applyBorder="1" applyAlignment="1">
      <alignment horizontal="center" vertical="top"/>
    </xf>
    <xf numFmtId="0" fontId="1" fillId="20" borderId="10" xfId="0" applyFont="1" applyFill="1" applyBorder="1" applyAlignment="1">
      <alignment horizontal="center" vertical="center" wrapText="1"/>
    </xf>
    <xf numFmtId="164" fontId="1" fillId="20" borderId="10" xfId="0" applyNumberFormat="1" applyFont="1" applyFill="1" applyBorder="1" applyAlignment="1">
      <alignment horizontal="center" vertical="center" wrapText="1"/>
    </xf>
    <xf numFmtId="171" fontId="1" fillId="0" borderId="0" xfId="0" applyNumberFormat="1" applyFont="1" applyAlignment="1">
      <alignment horizontal="center" vertical="center" wrapText="1"/>
    </xf>
    <xf numFmtId="171" fontId="1" fillId="20" borderId="10" xfId="0" applyNumberFormat="1" applyFont="1" applyFill="1" applyBorder="1" applyAlignment="1">
      <alignment horizontal="center" vertical="center" wrapText="1"/>
    </xf>
    <xf numFmtId="171" fontId="1" fillId="3" borderId="12" xfId="0" applyNumberFormat="1" applyFont="1" applyFill="1" applyBorder="1" applyAlignment="1">
      <alignment vertical="center" wrapText="1"/>
    </xf>
    <xf numFmtId="171" fontId="1" fillId="3" borderId="11" xfId="0" applyNumberFormat="1" applyFont="1" applyFill="1" applyBorder="1" applyAlignment="1">
      <alignment vertical="center" wrapText="1"/>
    </xf>
    <xf numFmtId="171" fontId="1" fillId="3" borderId="13" xfId="0" applyNumberFormat="1" applyFont="1" applyFill="1" applyBorder="1" applyAlignment="1">
      <alignment vertical="center" wrapText="1"/>
    </xf>
    <xf numFmtId="171" fontId="1" fillId="3" borderId="12" xfId="0" applyNumberFormat="1" applyFont="1" applyFill="1" applyBorder="1" applyAlignment="1">
      <alignment vertical="top" wrapText="1"/>
    </xf>
    <xf numFmtId="171" fontId="1" fillId="3" borderId="11" xfId="0" applyNumberFormat="1" applyFont="1" applyFill="1" applyBorder="1" applyAlignment="1">
      <alignment vertical="top" wrapText="1"/>
    </xf>
    <xf numFmtId="171" fontId="1" fillId="3" borderId="13" xfId="0" applyNumberFormat="1" applyFont="1" applyFill="1" applyBorder="1" applyAlignment="1">
      <alignment vertical="top" wrapText="1"/>
    </xf>
    <xf numFmtId="171" fontId="2" fillId="0" borderId="0" xfId="0" applyNumberFormat="1" applyFont="1"/>
    <xf numFmtId="164" fontId="20" fillId="3" borderId="12" xfId="0" applyNumberFormat="1" applyFont="1" applyFill="1" applyBorder="1" applyAlignment="1">
      <alignment vertical="center" wrapText="1"/>
    </xf>
    <xf numFmtId="164" fontId="20" fillId="3" borderId="11" xfId="0" applyNumberFormat="1" applyFont="1" applyFill="1" applyBorder="1" applyAlignment="1">
      <alignment vertical="center" wrapText="1"/>
    </xf>
    <xf numFmtId="164" fontId="20" fillId="3" borderId="13" xfId="0" applyNumberFormat="1" applyFont="1" applyFill="1" applyBorder="1" applyAlignment="1">
      <alignment vertical="center" wrapText="1"/>
    </xf>
    <xf numFmtId="164" fontId="20" fillId="3" borderId="12" xfId="0" applyNumberFormat="1" applyFont="1" applyFill="1" applyBorder="1" applyAlignment="1">
      <alignment vertical="top" wrapText="1"/>
    </xf>
    <xf numFmtId="164" fontId="20" fillId="3" borderId="11" xfId="0" applyNumberFormat="1" applyFont="1" applyFill="1" applyBorder="1" applyAlignment="1">
      <alignment vertical="top" wrapText="1"/>
    </xf>
    <xf numFmtId="164" fontId="20" fillId="3" borderId="13" xfId="0" applyNumberFormat="1" applyFont="1" applyFill="1" applyBorder="1" applyAlignment="1">
      <alignment vertical="top" wrapText="1"/>
    </xf>
    <xf numFmtId="0" fontId="30" fillId="0" borderId="0" xfId="0" applyFont="1"/>
    <xf numFmtId="0" fontId="1" fillId="21" borderId="0" xfId="0" applyFont="1" applyFill="1" applyAlignment="1">
      <alignment vertical="center"/>
    </xf>
    <xf numFmtId="0" fontId="1" fillId="21" borderId="0" xfId="0" applyFont="1" applyFill="1" applyAlignment="1">
      <alignment horizontal="left" vertical="center" wrapText="1"/>
    </xf>
    <xf numFmtId="0" fontId="20" fillId="0" borderId="26" xfId="0" applyFont="1" applyBorder="1" applyAlignment="1">
      <alignment horizontal="left" vertical="center"/>
    </xf>
    <xf numFmtId="164" fontId="20" fillId="0" borderId="0" xfId="0" applyNumberFormat="1" applyFont="1" applyAlignment="1">
      <alignment vertical="center"/>
    </xf>
    <xf numFmtId="0" fontId="20" fillId="0" borderId="0" xfId="0" applyFont="1" applyAlignment="1">
      <alignment horizontal="left" vertical="center"/>
    </xf>
    <xf numFmtId="171" fontId="2" fillId="0" borderId="0" xfId="0" applyNumberFormat="1" applyFont="1" applyAlignment="1">
      <alignment horizontal="center" vertical="center"/>
    </xf>
    <xf numFmtId="171" fontId="2" fillId="0" borderId="7" xfId="0" applyNumberFormat="1" applyFont="1" applyBorder="1" applyAlignment="1">
      <alignment horizontal="center" vertical="top"/>
    </xf>
    <xf numFmtId="171" fontId="1" fillId="2" borderId="11" xfId="0" applyNumberFormat="1" applyFont="1" applyFill="1" applyBorder="1" applyAlignment="1">
      <alignment horizontal="center" vertical="center"/>
    </xf>
    <xf numFmtId="171" fontId="1" fillId="2" borderId="13" xfId="0" applyNumberFormat="1" applyFont="1" applyFill="1" applyBorder="1" applyAlignment="1">
      <alignment horizontal="center" vertical="center"/>
    </xf>
    <xf numFmtId="171" fontId="1" fillId="2" borderId="11" xfId="0" applyNumberFormat="1" applyFont="1" applyFill="1" applyBorder="1" applyAlignment="1">
      <alignment horizontal="center" vertical="top"/>
    </xf>
    <xf numFmtId="171" fontId="1" fillId="2" borderId="13" xfId="0" applyNumberFormat="1" applyFont="1" applyFill="1" applyBorder="1" applyAlignment="1">
      <alignment horizontal="center" vertical="top"/>
    </xf>
    <xf numFmtId="171" fontId="2" fillId="0" borderId="0" xfId="0" applyNumberFormat="1" applyFont="1" applyAlignment="1">
      <alignment horizontal="center" vertical="top"/>
    </xf>
    <xf numFmtId="0" fontId="1" fillId="21" borderId="0" xfId="0" applyFont="1" applyFill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" fillId="20" borderId="56" xfId="0" applyFont="1" applyFill="1" applyBorder="1" applyAlignment="1">
      <alignment horizontal="center" vertical="center" wrapText="1"/>
    </xf>
    <xf numFmtId="171" fontId="1" fillId="20" borderId="56" xfId="0" applyNumberFormat="1" applyFont="1" applyFill="1" applyBorder="1" applyAlignment="1">
      <alignment horizontal="center" vertical="center" wrapText="1"/>
    </xf>
    <xf numFmtId="171" fontId="12" fillId="0" borderId="11" xfId="0" applyNumberFormat="1" applyFont="1" applyBorder="1" applyAlignment="1">
      <alignment horizontal="center" vertical="center"/>
    </xf>
    <xf numFmtId="171" fontId="1" fillId="3" borderId="11" xfId="0" applyNumberFormat="1" applyFont="1" applyFill="1" applyBorder="1" applyAlignment="1">
      <alignment horizontal="center" vertical="center"/>
    </xf>
    <xf numFmtId="171" fontId="1" fillId="3" borderId="13" xfId="0" applyNumberFormat="1" applyFont="1" applyFill="1" applyBorder="1" applyAlignment="1">
      <alignment horizontal="center" vertical="center"/>
    </xf>
    <xf numFmtId="171" fontId="1" fillId="3" borderId="11" xfId="0" applyNumberFormat="1" applyFont="1" applyFill="1" applyBorder="1" applyAlignment="1">
      <alignment horizontal="center" vertical="top"/>
    </xf>
    <xf numFmtId="171" fontId="1" fillId="3" borderId="13" xfId="0" applyNumberFormat="1" applyFont="1" applyFill="1" applyBorder="1" applyAlignment="1">
      <alignment horizontal="center" vertical="top"/>
    </xf>
    <xf numFmtId="171" fontId="2" fillId="0" borderId="0" xfId="0" applyNumberFormat="1" applyFont="1" applyAlignment="1">
      <alignment horizontal="center"/>
    </xf>
    <xf numFmtId="164" fontId="1" fillId="20" borderId="54" xfId="0" applyNumberFormat="1" applyFont="1" applyFill="1" applyBorder="1" applyAlignment="1">
      <alignment horizontal="center" vertical="center" wrapText="1"/>
    </xf>
    <xf numFmtId="164" fontId="1" fillId="20" borderId="58" xfId="0" applyNumberFormat="1" applyFont="1" applyFill="1" applyBorder="1" applyAlignment="1">
      <alignment horizontal="center" vertical="center" wrapText="1"/>
    </xf>
    <xf numFmtId="0" fontId="1" fillId="22" borderId="0" xfId="0" applyFont="1" applyFill="1" applyAlignment="1">
      <alignment horizontal="left" vertical="center"/>
    </xf>
    <xf numFmtId="0" fontId="1" fillId="20" borderId="56" xfId="0" applyFont="1" applyFill="1" applyBorder="1" applyAlignment="1">
      <alignment horizontal="center" vertical="center"/>
    </xf>
    <xf numFmtId="171" fontId="38" fillId="20" borderId="10" xfId="0" applyNumberFormat="1" applyFont="1" applyFill="1" applyBorder="1" applyAlignment="1">
      <alignment horizontal="center" vertical="center"/>
    </xf>
    <xf numFmtId="0" fontId="38" fillId="20" borderId="10" xfId="0" applyFont="1" applyFill="1" applyBorder="1" applyAlignment="1">
      <alignment horizontal="center" vertical="center"/>
    </xf>
    <xf numFmtId="164" fontId="38" fillId="20" borderId="10" xfId="0" applyNumberFormat="1" applyFont="1" applyFill="1" applyBorder="1" applyAlignment="1">
      <alignment horizontal="center" vertical="center"/>
    </xf>
    <xf numFmtId="164" fontId="38" fillId="20" borderId="10" xfId="0" applyNumberFormat="1" applyFont="1" applyFill="1" applyBorder="1" applyAlignment="1">
      <alignment horizontal="center" vertical="center" wrapText="1"/>
    </xf>
    <xf numFmtId="164" fontId="30" fillId="0" borderId="11" xfId="0" applyNumberFormat="1" applyFont="1" applyBorder="1" applyAlignment="1">
      <alignment vertical="center"/>
    </xf>
    <xf numFmtId="164" fontId="30" fillId="0" borderId="27" xfId="0" applyNumberFormat="1" applyFont="1" applyBorder="1" applyAlignment="1">
      <alignment vertical="center"/>
    </xf>
    <xf numFmtId="164" fontId="20" fillId="0" borderId="11" xfId="0" applyNumberFormat="1" applyFont="1" applyBorder="1" applyAlignment="1">
      <alignment horizontal="center" vertical="center"/>
    </xf>
    <xf numFmtId="164" fontId="30" fillId="0" borderId="0" xfId="0" applyNumberFormat="1" applyFont="1" applyAlignment="1">
      <alignment vertical="center"/>
    </xf>
    <xf numFmtId="0" fontId="38" fillId="0" borderId="0" xfId="0" applyFont="1" applyAlignment="1">
      <alignment horizontal="center" vertical="center"/>
    </xf>
    <xf numFmtId="164" fontId="38" fillId="0" borderId="0" xfId="0" applyNumberFormat="1" applyFont="1" applyAlignment="1">
      <alignment horizontal="center" vertical="center"/>
    </xf>
    <xf numFmtId="0" fontId="3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164" fontId="44" fillId="0" borderId="0" xfId="0" applyNumberFormat="1" applyFont="1" applyAlignment="1">
      <alignment horizontal="center" vertical="center"/>
    </xf>
    <xf numFmtId="164" fontId="43" fillId="0" borderId="0" xfId="0" applyNumberFormat="1" applyFont="1" applyAlignment="1">
      <alignment horizontal="left" vertical="top"/>
    </xf>
    <xf numFmtId="164" fontId="43" fillId="0" borderId="0" xfId="0" applyNumberFormat="1" applyFont="1" applyAlignment="1">
      <alignment vertical="top"/>
    </xf>
    <xf numFmtId="164" fontId="44" fillId="0" borderId="0" xfId="0" applyNumberFormat="1" applyFont="1" applyAlignment="1">
      <alignment vertical="top"/>
    </xf>
    <xf numFmtId="0" fontId="43" fillId="0" borderId="0" xfId="0" applyFont="1"/>
    <xf numFmtId="0" fontId="23" fillId="0" borderId="0" xfId="0" applyFont="1" applyAlignment="1">
      <alignment vertical="center"/>
    </xf>
    <xf numFmtId="164" fontId="22" fillId="0" borderId="0" xfId="0" applyNumberFormat="1" applyFont="1" applyAlignment="1">
      <alignment horizontal="center" vertical="center"/>
    </xf>
    <xf numFmtId="164" fontId="23" fillId="0" borderId="0" xfId="0" applyNumberFormat="1" applyFont="1" applyAlignment="1">
      <alignment vertical="top"/>
    </xf>
    <xf numFmtId="0" fontId="23" fillId="0" borderId="0" xfId="0" applyFont="1"/>
    <xf numFmtId="171" fontId="16" fillId="0" borderId="0" xfId="0" applyNumberFormat="1" applyFont="1" applyAlignment="1">
      <alignment vertical="top"/>
    </xf>
    <xf numFmtId="164" fontId="16" fillId="0" borderId="0" xfId="0" applyNumberFormat="1" applyFont="1" applyAlignment="1">
      <alignment vertical="top" wrapText="1"/>
    </xf>
    <xf numFmtId="0" fontId="43" fillId="0" borderId="0" xfId="0" applyFont="1" applyAlignment="1">
      <alignment vertical="top"/>
    </xf>
    <xf numFmtId="0" fontId="16" fillId="0" borderId="27" xfId="0" applyFont="1" applyBorder="1" applyAlignment="1">
      <alignment vertical="top"/>
    </xf>
    <xf numFmtId="0" fontId="16" fillId="0" borderId="0" xfId="0" applyFont="1" applyAlignment="1">
      <alignment vertical="top" wrapText="1"/>
    </xf>
    <xf numFmtId="164" fontId="20" fillId="0" borderId="0" xfId="0" applyNumberFormat="1" applyFont="1" applyAlignment="1">
      <alignment horizontal="center" vertical="center" wrapText="1"/>
    </xf>
    <xf numFmtId="164" fontId="20" fillId="2" borderId="11" xfId="0" applyNumberFormat="1" applyFont="1" applyFill="1" applyBorder="1" applyAlignment="1">
      <alignment vertical="center"/>
    </xf>
    <xf numFmtId="164" fontId="20" fillId="2" borderId="13" xfId="0" applyNumberFormat="1" applyFont="1" applyFill="1" applyBorder="1" applyAlignment="1">
      <alignment vertical="center"/>
    </xf>
    <xf numFmtId="164" fontId="20" fillId="2" borderId="11" xfId="0" applyNumberFormat="1" applyFont="1" applyFill="1" applyBorder="1" applyAlignment="1">
      <alignment vertical="top"/>
    </xf>
    <xf numFmtId="164" fontId="20" fillId="2" borderId="13" xfId="0" applyNumberFormat="1" applyFont="1" applyFill="1" applyBorder="1" applyAlignment="1">
      <alignment vertical="top"/>
    </xf>
    <xf numFmtId="164" fontId="30" fillId="0" borderId="0" xfId="0" applyNumberFormat="1" applyFont="1" applyAlignment="1">
      <alignment vertical="top"/>
    </xf>
    <xf numFmtId="164" fontId="20" fillId="0" borderId="0" xfId="0" applyNumberFormat="1" applyFont="1" applyAlignment="1">
      <alignment horizontal="right" vertical="center"/>
    </xf>
    <xf numFmtId="164" fontId="20" fillId="20" borderId="56" xfId="0" applyNumberFormat="1" applyFont="1" applyFill="1" applyBorder="1" applyAlignment="1">
      <alignment horizontal="center" vertical="center" wrapText="1"/>
    </xf>
    <xf numFmtId="164" fontId="20" fillId="3" borderId="11" xfId="0" applyNumberFormat="1" applyFont="1" applyFill="1" applyBorder="1" applyAlignment="1">
      <alignment vertical="center"/>
    </xf>
    <xf numFmtId="164" fontId="20" fillId="3" borderId="13" xfId="0" applyNumberFormat="1" applyFont="1" applyFill="1" applyBorder="1" applyAlignment="1">
      <alignment vertical="center"/>
    </xf>
    <xf numFmtId="164" fontId="20" fillId="3" borderId="11" xfId="0" applyNumberFormat="1" applyFont="1" applyFill="1" applyBorder="1" applyAlignment="1">
      <alignment vertical="top"/>
    </xf>
    <xf numFmtId="164" fontId="20" fillId="3" borderId="13" xfId="0" applyNumberFormat="1" applyFont="1" applyFill="1" applyBorder="1" applyAlignment="1">
      <alignment vertical="top"/>
    </xf>
    <xf numFmtId="164" fontId="20" fillId="0" borderId="0" xfId="0" applyNumberFormat="1" applyFont="1" applyAlignment="1">
      <alignment vertical="top"/>
    </xf>
    <xf numFmtId="164" fontId="20" fillId="20" borderId="10" xfId="0" applyNumberFormat="1" applyFont="1" applyFill="1" applyBorder="1" applyAlignment="1">
      <alignment horizontal="center" vertical="center"/>
    </xf>
    <xf numFmtId="164" fontId="30" fillId="0" borderId="54" xfId="0" applyNumberFormat="1" applyFont="1" applyBorder="1" applyAlignment="1">
      <alignment vertical="top"/>
    </xf>
    <xf numFmtId="164" fontId="20" fillId="3" borderId="12" xfId="0" applyNumberFormat="1" applyFont="1" applyFill="1" applyBorder="1" applyAlignment="1">
      <alignment vertical="top"/>
    </xf>
    <xf numFmtId="171" fontId="16" fillId="0" borderId="0" xfId="0" applyNumberFormat="1" applyFont="1"/>
    <xf numFmtId="171" fontId="38" fillId="0" borderId="0" xfId="0" applyNumberFormat="1" applyFont="1" applyAlignment="1">
      <alignment horizontal="center" vertical="center"/>
    </xf>
    <xf numFmtId="171" fontId="16" fillId="0" borderId="0" xfId="0" applyNumberFormat="1" applyFont="1" applyAlignment="1">
      <alignment horizontal="center" vertical="center"/>
    </xf>
    <xf numFmtId="164" fontId="43" fillId="0" borderId="0" xfId="0" applyNumberFormat="1" applyFont="1" applyAlignment="1">
      <alignment horizontal="center" vertical="center"/>
    </xf>
    <xf numFmtId="164" fontId="23" fillId="0" borderId="0" xfId="0" applyNumberFormat="1" applyFont="1" applyAlignment="1">
      <alignment horizontal="center" vertical="center"/>
    </xf>
    <xf numFmtId="171" fontId="16" fillId="0" borderId="0" xfId="0" applyNumberFormat="1" applyFont="1" applyAlignment="1">
      <alignment vertical="center"/>
    </xf>
    <xf numFmtId="171" fontId="16" fillId="0" borderId="27" xfId="0" applyNumberFormat="1" applyFont="1" applyBorder="1" applyAlignment="1">
      <alignment vertical="top"/>
    </xf>
    <xf numFmtId="0" fontId="20" fillId="0" borderId="12" xfId="0" applyFont="1" applyBorder="1" applyAlignment="1">
      <alignment vertical="center"/>
    </xf>
    <xf numFmtId="0" fontId="20" fillId="0" borderId="11" xfId="0" applyFont="1" applyBorder="1" applyAlignment="1">
      <alignment vertical="center" wrapText="1"/>
    </xf>
    <xf numFmtId="171" fontId="20" fillId="0" borderId="54" xfId="0" applyNumberFormat="1" applyFont="1" applyBorder="1" applyAlignment="1">
      <alignment horizontal="center" vertical="center"/>
    </xf>
    <xf numFmtId="0" fontId="20" fillId="0" borderId="59" xfId="0" applyFont="1" applyBorder="1" applyAlignment="1">
      <alignment horizontal="left" vertical="center"/>
    </xf>
    <xf numFmtId="0" fontId="20" fillId="0" borderId="54" xfId="0" applyFont="1" applyBorder="1" applyAlignment="1">
      <alignment horizontal="left" vertical="center"/>
    </xf>
    <xf numFmtId="0" fontId="20" fillId="0" borderId="54" xfId="0" applyFont="1" applyBorder="1" applyAlignment="1">
      <alignment vertical="center"/>
    </xf>
    <xf numFmtId="164" fontId="20" fillId="0" borderId="54" xfId="0" applyNumberFormat="1" applyFont="1" applyBorder="1" applyAlignment="1">
      <alignment vertical="center"/>
    </xf>
    <xf numFmtId="164" fontId="20" fillId="0" borderId="60" xfId="0" applyNumberFormat="1" applyFont="1" applyBorder="1" applyAlignment="1">
      <alignment vertical="center"/>
    </xf>
    <xf numFmtId="164" fontId="20" fillId="0" borderId="11" xfId="0" applyNumberFormat="1" applyFont="1" applyBorder="1" applyAlignment="1">
      <alignment vertical="center"/>
    </xf>
    <xf numFmtId="164" fontId="20" fillId="0" borderId="27" xfId="0" applyNumberFormat="1" applyFont="1" applyBorder="1" applyAlignment="1">
      <alignment vertical="center"/>
    </xf>
    <xf numFmtId="171" fontId="12" fillId="0" borderId="54" xfId="0" applyNumberFormat="1" applyFont="1" applyBorder="1" applyAlignment="1">
      <alignment horizontal="center" vertical="center"/>
    </xf>
    <xf numFmtId="0" fontId="12" fillId="0" borderId="59" xfId="0" applyFont="1" applyBorder="1" applyAlignment="1">
      <alignment horizontal="left" vertical="center"/>
    </xf>
    <xf numFmtId="0" fontId="12" fillId="0" borderId="54" xfId="0" applyFont="1" applyBorder="1" applyAlignment="1">
      <alignment horizontal="left" vertical="center"/>
    </xf>
    <xf numFmtId="164" fontId="30" fillId="0" borderId="54" xfId="0" applyNumberFormat="1" applyFont="1" applyBorder="1" applyAlignment="1">
      <alignment vertical="center"/>
    </xf>
    <xf numFmtId="164" fontId="30" fillId="0" borderId="59" xfId="0" applyNumberFormat="1" applyFont="1" applyBorder="1" applyAlignment="1">
      <alignment vertical="center"/>
    </xf>
    <xf numFmtId="0" fontId="20" fillId="0" borderId="55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171" fontId="20" fillId="0" borderId="12" xfId="0" applyNumberFormat="1" applyFont="1" applyBorder="1" applyAlignment="1">
      <alignment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2" xfId="0" applyFont="1" applyBorder="1" applyAlignment="1">
      <alignment vertical="center" wrapText="1"/>
    </xf>
    <xf numFmtId="164" fontId="20" fillId="0" borderId="3" xfId="0" applyNumberFormat="1" applyFont="1" applyBorder="1" applyAlignment="1">
      <alignment vertical="center" wrapText="1"/>
    </xf>
    <xf numFmtId="164" fontId="20" fillId="0" borderId="12" xfId="0" applyNumberFormat="1" applyFont="1" applyBorder="1" applyAlignment="1">
      <alignment vertical="center" wrapText="1"/>
    </xf>
    <xf numFmtId="164" fontId="20" fillId="0" borderId="34" xfId="0" applyNumberFormat="1" applyFont="1" applyBorder="1" applyAlignment="1">
      <alignment vertical="center" wrapText="1"/>
    </xf>
    <xf numFmtId="171" fontId="20" fillId="0" borderId="11" xfId="0" applyNumberFormat="1" applyFont="1" applyBorder="1" applyAlignment="1">
      <alignment vertical="center" wrapText="1"/>
    </xf>
    <xf numFmtId="0" fontId="20" fillId="0" borderId="11" xfId="0" applyFont="1" applyBorder="1" applyAlignment="1">
      <alignment horizontal="left" vertical="center" wrapText="1"/>
    </xf>
    <xf numFmtId="164" fontId="20" fillId="0" borderId="35" xfId="0" applyNumberFormat="1" applyFont="1" applyBorder="1" applyAlignment="1">
      <alignment vertical="center" wrapText="1"/>
    </xf>
    <xf numFmtId="171" fontId="20" fillId="0" borderId="54" xfId="0" applyNumberFormat="1" applyFont="1" applyBorder="1" applyAlignment="1">
      <alignment horizontal="center" vertical="center" wrapText="1"/>
    </xf>
    <xf numFmtId="0" fontId="30" fillId="0" borderId="54" xfId="0" applyFont="1" applyBorder="1" applyAlignment="1">
      <alignment horizontal="left" vertical="center" wrapText="1"/>
    </xf>
    <xf numFmtId="0" fontId="20" fillId="0" borderId="54" xfId="0" applyFont="1" applyBorder="1" applyAlignment="1">
      <alignment vertical="center" wrapText="1"/>
    </xf>
    <xf numFmtId="164" fontId="30" fillId="0" borderId="58" xfId="0" applyNumberFormat="1" applyFont="1" applyBorder="1" applyAlignment="1">
      <alignment vertical="center" wrapText="1"/>
    </xf>
    <xf numFmtId="164" fontId="30" fillId="0" borderId="54" xfId="0" applyNumberFormat="1" applyFont="1" applyBorder="1" applyAlignment="1">
      <alignment vertical="center" wrapText="1"/>
    </xf>
    <xf numFmtId="164" fontId="30" fillId="0" borderId="59" xfId="0" applyNumberFormat="1" applyFont="1" applyBorder="1" applyAlignment="1">
      <alignment vertical="center" wrapText="1"/>
    </xf>
    <xf numFmtId="164" fontId="20" fillId="0" borderId="60" xfId="0" applyNumberFormat="1" applyFont="1" applyBorder="1" applyAlignment="1">
      <alignment vertical="center" wrapText="1"/>
    </xf>
    <xf numFmtId="171" fontId="21" fillId="0" borderId="55" xfId="0" applyNumberFormat="1" applyFont="1" applyBorder="1" applyAlignment="1">
      <alignment horizontal="center" vertical="top" wrapText="1"/>
    </xf>
    <xf numFmtId="0" fontId="2" fillId="0" borderId="55" xfId="0" applyFont="1" applyBorder="1" applyAlignment="1">
      <alignment horizontal="left" vertical="top" wrapText="1"/>
    </xf>
    <xf numFmtId="0" fontId="2" fillId="0" borderId="55" xfId="0" applyFont="1" applyBorder="1" applyAlignment="1">
      <alignment vertical="top" wrapText="1"/>
    </xf>
    <xf numFmtId="164" fontId="2" fillId="0" borderId="61" xfId="0" applyNumberFormat="1" applyFont="1" applyBorder="1" applyAlignment="1">
      <alignment vertical="top" wrapText="1"/>
    </xf>
    <xf numFmtId="164" fontId="2" fillId="0" borderId="55" xfId="0" applyNumberFormat="1" applyFont="1" applyBorder="1" applyAlignment="1">
      <alignment vertical="top" wrapText="1"/>
    </xf>
    <xf numFmtId="164" fontId="2" fillId="0" borderId="62" xfId="0" applyNumberFormat="1" applyFont="1" applyBorder="1" applyAlignment="1">
      <alignment vertical="top" wrapText="1"/>
    </xf>
    <xf numFmtId="164" fontId="20" fillId="0" borderId="55" xfId="0" applyNumberFormat="1" applyFont="1" applyBorder="1" applyAlignment="1">
      <alignment vertical="top" wrapText="1"/>
    </xf>
    <xf numFmtId="171" fontId="2" fillId="0" borderId="11" xfId="0" applyNumberFormat="1" applyFont="1" applyBorder="1" applyAlignment="1">
      <alignment vertical="top" wrapText="1"/>
    </xf>
    <xf numFmtId="0" fontId="2" fillId="0" borderId="11" xfId="0" applyFont="1" applyBorder="1" applyAlignment="1">
      <alignment horizontal="left" vertical="top" wrapText="1"/>
    </xf>
    <xf numFmtId="164" fontId="2" fillId="0" borderId="39" xfId="0" applyNumberFormat="1" applyFont="1" applyBorder="1" applyAlignment="1">
      <alignment vertical="top" wrapText="1"/>
    </xf>
    <xf numFmtId="164" fontId="2" fillId="0" borderId="11" xfId="0" applyNumberFormat="1" applyFont="1" applyBorder="1" applyAlignment="1">
      <alignment vertical="top" wrapText="1"/>
    </xf>
    <xf numFmtId="164" fontId="2" fillId="0" borderId="27" xfId="0" applyNumberFormat="1" applyFont="1" applyBorder="1" applyAlignment="1">
      <alignment vertical="top" wrapText="1"/>
    </xf>
    <xf numFmtId="164" fontId="20" fillId="0" borderId="11" xfId="0" applyNumberFormat="1" applyFont="1" applyBorder="1" applyAlignment="1">
      <alignment vertical="top" wrapText="1"/>
    </xf>
    <xf numFmtId="171" fontId="2" fillId="0" borderId="13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164" fontId="2" fillId="0" borderId="40" xfId="0" applyNumberFormat="1" applyFont="1" applyBorder="1" applyAlignment="1">
      <alignment vertical="top" wrapText="1"/>
    </xf>
    <xf numFmtId="164" fontId="2" fillId="0" borderId="13" xfId="0" applyNumberFormat="1" applyFont="1" applyBorder="1" applyAlignment="1">
      <alignment vertical="top" wrapText="1"/>
    </xf>
    <xf numFmtId="164" fontId="2" fillId="0" borderId="36" xfId="0" applyNumberFormat="1" applyFont="1" applyBorder="1" applyAlignment="1">
      <alignment vertical="top" wrapText="1"/>
    </xf>
    <xf numFmtId="164" fontId="20" fillId="0" borderId="13" xfId="0" applyNumberFormat="1" applyFont="1" applyBorder="1" applyAlignment="1">
      <alignment vertical="top" wrapText="1"/>
    </xf>
    <xf numFmtId="0" fontId="20" fillId="0" borderId="26" xfId="0" applyFont="1" applyBorder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164" fontId="30" fillId="0" borderId="0" xfId="0" applyNumberFormat="1" applyFont="1" applyAlignment="1">
      <alignment horizontal="right" vertical="center"/>
    </xf>
    <xf numFmtId="164" fontId="30" fillId="0" borderId="0" xfId="0" applyNumberFormat="1" applyFont="1" applyAlignment="1">
      <alignment horizontal="center" vertical="center"/>
    </xf>
    <xf numFmtId="49" fontId="30" fillId="0" borderId="0" xfId="0" applyNumberFormat="1" applyFont="1" applyAlignment="1">
      <alignment vertical="center"/>
    </xf>
    <xf numFmtId="164" fontId="43" fillId="0" borderId="0" xfId="0" applyNumberFormat="1" applyFont="1" applyAlignment="1">
      <alignment vertical="center"/>
    </xf>
    <xf numFmtId="164" fontId="22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1" fillId="23" borderId="10" xfId="0" applyNumberFormat="1" applyFont="1" applyFill="1" applyBorder="1" applyAlignment="1">
      <alignment horizontal="center" vertical="center" wrapText="1"/>
    </xf>
    <xf numFmtId="171" fontId="38" fillId="0" borderId="0" xfId="0" applyNumberFormat="1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164" fontId="38" fillId="0" borderId="0" xfId="0" applyNumberFormat="1" applyFont="1" applyAlignment="1">
      <alignment horizontal="center" vertical="center" wrapText="1"/>
    </xf>
    <xf numFmtId="164" fontId="44" fillId="0" borderId="0" xfId="0" applyNumberFormat="1" applyFont="1" applyAlignment="1">
      <alignment horizontal="center" vertical="center" wrapText="1"/>
    </xf>
    <xf numFmtId="164" fontId="22" fillId="0" borderId="0" xfId="0" applyNumberFormat="1" applyFont="1" applyAlignment="1">
      <alignment horizontal="center" vertical="center" wrapText="1"/>
    </xf>
    <xf numFmtId="164" fontId="2" fillId="0" borderId="27" xfId="0" applyNumberFormat="1" applyFont="1" applyBorder="1" applyAlignment="1">
      <alignment vertical="top"/>
    </xf>
    <xf numFmtId="0" fontId="2" fillId="0" borderId="27" xfId="0" applyFont="1" applyBorder="1" applyAlignment="1">
      <alignment horizontal="center" vertical="top"/>
    </xf>
    <xf numFmtId="171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horizontal="right" vertical="center"/>
    </xf>
    <xf numFmtId="0" fontId="2" fillId="0" borderId="27" xfId="0" applyFont="1" applyBorder="1" applyAlignment="1">
      <alignment horizontal="left" vertical="top" wrapText="1"/>
    </xf>
    <xf numFmtId="164" fontId="2" fillId="0" borderId="0" xfId="0" applyNumberFormat="1" applyFont="1" applyAlignment="1">
      <alignment horizontal="right" vertical="top" wrapText="1"/>
    </xf>
    <xf numFmtId="0" fontId="2" fillId="0" borderId="27" xfId="0" applyFont="1" applyBorder="1" applyAlignment="1">
      <alignment horizontal="left" vertical="top"/>
    </xf>
    <xf numFmtId="49" fontId="2" fillId="0" borderId="27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vertical="center"/>
    </xf>
    <xf numFmtId="164" fontId="2" fillId="0" borderId="27" xfId="0" applyNumberFormat="1" applyFont="1" applyBorder="1" applyAlignment="1">
      <alignment vertical="center"/>
    </xf>
    <xf numFmtId="164" fontId="2" fillId="0" borderId="38" xfId="0" applyNumberFormat="1" applyFont="1" applyBorder="1" applyAlignment="1">
      <alignment vertical="center"/>
    </xf>
    <xf numFmtId="49" fontId="2" fillId="0" borderId="27" xfId="0" applyNumberFormat="1" applyFont="1" applyBorder="1" applyAlignment="1">
      <alignment horizontal="center" vertical="top"/>
    </xf>
    <xf numFmtId="49" fontId="2" fillId="0" borderId="27" xfId="0" applyNumberFormat="1" applyFont="1" applyBorder="1" applyAlignment="1">
      <alignment vertical="top"/>
    </xf>
    <xf numFmtId="164" fontId="7" fillId="0" borderId="27" xfId="0" applyNumberFormat="1" applyFont="1" applyBorder="1" applyAlignment="1">
      <alignment vertical="top"/>
    </xf>
    <xf numFmtId="49" fontId="1" fillId="0" borderId="27" xfId="0" applyNumberFormat="1" applyFont="1" applyBorder="1" applyAlignment="1">
      <alignment horizontal="center" vertical="center"/>
    </xf>
    <xf numFmtId="49" fontId="1" fillId="0" borderId="27" xfId="0" applyNumberFormat="1" applyFont="1" applyBorder="1" applyAlignment="1">
      <alignment vertical="center"/>
    </xf>
    <xf numFmtId="164" fontId="9" fillId="0" borderId="27" xfId="0" applyNumberFormat="1" applyFont="1" applyBorder="1" applyAlignment="1">
      <alignment vertical="top"/>
    </xf>
    <xf numFmtId="164" fontId="1" fillId="0" borderId="27" xfId="0" applyNumberFormat="1" applyFont="1" applyBorder="1" applyAlignment="1">
      <alignment vertical="center"/>
    </xf>
    <xf numFmtId="164" fontId="2" fillId="0" borderId="36" xfId="0" applyNumberFormat="1" applyFont="1" applyBorder="1" applyAlignment="1">
      <alignment vertical="top"/>
    </xf>
    <xf numFmtId="164" fontId="1" fillId="10" borderId="34" xfId="0" applyNumberFormat="1" applyFont="1" applyFill="1" applyBorder="1" applyAlignment="1">
      <alignment horizontal="center" vertical="center" wrapText="1"/>
    </xf>
    <xf numFmtId="164" fontId="20" fillId="0" borderId="34" xfId="0" applyNumberFormat="1" applyFont="1" applyBorder="1" applyAlignment="1">
      <alignment vertical="center"/>
    </xf>
    <xf numFmtId="164" fontId="20" fillId="0" borderId="35" xfId="0" applyNumberFormat="1" applyFont="1" applyBorder="1" applyAlignment="1">
      <alignment vertical="center"/>
    </xf>
    <xf numFmtId="164" fontId="1" fillId="10" borderId="63" xfId="0" applyNumberFormat="1" applyFont="1" applyFill="1" applyBorder="1" applyAlignment="1">
      <alignment horizontal="center" vertical="center" wrapText="1"/>
    </xf>
    <xf numFmtId="164" fontId="20" fillId="0" borderId="63" xfId="0" applyNumberFormat="1" applyFont="1" applyBorder="1" applyAlignment="1">
      <alignment vertical="center"/>
    </xf>
    <xf numFmtId="164" fontId="20" fillId="0" borderId="64" xfId="0" applyNumberFormat="1" applyFont="1" applyBorder="1" applyAlignment="1">
      <alignment vertical="center"/>
    </xf>
    <xf numFmtId="164" fontId="30" fillId="0" borderId="64" xfId="0" applyNumberFormat="1" applyFont="1" applyBorder="1" applyAlignment="1">
      <alignment vertical="center"/>
    </xf>
    <xf numFmtId="164" fontId="2" fillId="0" borderId="64" xfId="0" applyNumberFormat="1" applyFont="1" applyBorder="1" applyAlignment="1">
      <alignment vertical="center"/>
    </xf>
    <xf numFmtId="164" fontId="2" fillId="0" borderId="64" xfId="0" applyNumberFormat="1" applyFont="1" applyBorder="1" applyAlignment="1">
      <alignment vertical="top"/>
    </xf>
    <xf numFmtId="164" fontId="2" fillId="0" borderId="65" xfId="0" applyNumberFormat="1" applyFont="1" applyBorder="1" applyAlignment="1">
      <alignment vertical="top"/>
    </xf>
    <xf numFmtId="164" fontId="1" fillId="3" borderId="63" xfId="0" applyNumberFormat="1" applyFont="1" applyFill="1" applyBorder="1" applyAlignment="1">
      <alignment vertical="center"/>
    </xf>
    <xf numFmtId="164" fontId="1" fillId="3" borderId="64" xfId="0" applyNumberFormat="1" applyFont="1" applyFill="1" applyBorder="1" applyAlignment="1">
      <alignment vertical="center"/>
    </xf>
    <xf numFmtId="164" fontId="1" fillId="3" borderId="65" xfId="0" applyNumberFormat="1" applyFont="1" applyFill="1" applyBorder="1" applyAlignment="1">
      <alignment vertical="center"/>
    </xf>
    <xf numFmtId="164" fontId="1" fillId="3" borderId="63" xfId="0" applyNumberFormat="1" applyFont="1" applyFill="1" applyBorder="1" applyAlignment="1">
      <alignment vertical="top"/>
    </xf>
    <xf numFmtId="164" fontId="1" fillId="3" borderId="64" xfId="0" applyNumberFormat="1" applyFont="1" applyFill="1" applyBorder="1" applyAlignment="1">
      <alignment vertical="top"/>
    </xf>
    <xf numFmtId="164" fontId="1" fillId="3" borderId="65" xfId="0" applyNumberFormat="1" applyFont="1" applyFill="1" applyBorder="1" applyAlignment="1">
      <alignment vertical="top"/>
    </xf>
    <xf numFmtId="164" fontId="1" fillId="20" borderId="3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64" fontId="20" fillId="0" borderId="26" xfId="0" applyNumberFormat="1" applyFont="1" applyBorder="1" applyAlignment="1">
      <alignment vertical="center"/>
    </xf>
    <xf numFmtId="164" fontId="43" fillId="0" borderId="0" xfId="0" applyNumberFormat="1" applyFont="1" applyAlignment="1">
      <alignment horizontal="left" vertical="center"/>
    </xf>
    <xf numFmtId="164" fontId="44" fillId="0" borderId="0" xfId="0" applyNumberFormat="1" applyFont="1" applyAlignment="1">
      <alignment vertical="center"/>
    </xf>
    <xf numFmtId="166" fontId="9" fillId="0" borderId="27" xfId="0" applyNumberFormat="1" applyFont="1" applyBorder="1" applyAlignment="1">
      <alignment vertical="top"/>
    </xf>
    <xf numFmtId="164" fontId="4" fillId="3" borderId="54" xfId="0" applyNumberFormat="1" applyFont="1" applyFill="1" applyBorder="1" applyAlignment="1">
      <alignment vertical="top"/>
    </xf>
    <xf numFmtId="164" fontId="20" fillId="0" borderId="3" xfId="0" applyNumberFormat="1" applyFont="1" applyBorder="1" applyAlignment="1">
      <alignment vertical="center"/>
    </xf>
    <xf numFmtId="164" fontId="1" fillId="25" borderId="3" xfId="0" applyNumberFormat="1" applyFont="1" applyFill="1" applyBorder="1" applyAlignment="1">
      <alignment horizontal="center" vertical="top" wrapText="1"/>
    </xf>
    <xf numFmtId="164" fontId="3" fillId="0" borderId="12" xfId="0" applyNumberFormat="1" applyFont="1" applyBorder="1" applyAlignment="1">
      <alignment vertical="center"/>
    </xf>
    <xf numFmtId="164" fontId="3" fillId="0" borderId="11" xfId="0" applyNumberFormat="1" applyFont="1" applyBorder="1" applyAlignment="1">
      <alignment vertical="center"/>
    </xf>
    <xf numFmtId="164" fontId="2" fillId="0" borderId="13" xfId="0" applyNumberFormat="1" applyFont="1" applyBorder="1" applyAlignment="1">
      <alignment vertical="top"/>
    </xf>
    <xf numFmtId="0" fontId="2" fillId="0" borderId="27" xfId="0" applyFont="1" applyBorder="1" applyAlignment="1">
      <alignment vertical="top"/>
    </xf>
    <xf numFmtId="0" fontId="1" fillId="22" borderId="27" xfId="0" applyFont="1" applyFill="1" applyBorder="1" applyAlignment="1">
      <alignment horizontal="left" vertical="center"/>
    </xf>
    <xf numFmtId="0" fontId="6" fillId="0" borderId="27" xfId="0" applyFont="1" applyBorder="1" applyAlignment="1">
      <alignment vertical="top"/>
    </xf>
    <xf numFmtId="164" fontId="6" fillId="0" borderId="27" xfId="0" applyNumberFormat="1" applyFont="1" applyBorder="1" applyAlignment="1">
      <alignment vertical="top"/>
    </xf>
    <xf numFmtId="0" fontId="1" fillId="20" borderId="66" xfId="0" applyFont="1" applyFill="1" applyBorder="1" applyAlignment="1">
      <alignment horizontal="center" vertical="center"/>
    </xf>
    <xf numFmtId="0" fontId="1" fillId="20" borderId="67" xfId="0" applyFont="1" applyFill="1" applyBorder="1" applyAlignment="1">
      <alignment horizontal="center" vertical="center"/>
    </xf>
    <xf numFmtId="164" fontId="1" fillId="20" borderId="66" xfId="0" applyNumberFormat="1" applyFont="1" applyFill="1" applyBorder="1" applyAlignment="1">
      <alignment horizontal="center" vertical="center"/>
    </xf>
    <xf numFmtId="0" fontId="1" fillId="20" borderId="68" xfId="0" applyFont="1" applyFill="1" applyBorder="1" applyAlignment="1">
      <alignment horizontal="center" vertical="center"/>
    </xf>
    <xf numFmtId="0" fontId="45" fillId="26" borderId="11" xfId="0" applyFont="1" applyFill="1" applyBorder="1" applyAlignment="1">
      <alignment vertical="center"/>
    </xf>
    <xf numFmtId="0" fontId="45" fillId="26" borderId="11" xfId="0" applyFont="1" applyFill="1" applyBorder="1" applyAlignment="1">
      <alignment horizontal="left" vertical="center"/>
    </xf>
    <xf numFmtId="0" fontId="45" fillId="26" borderId="13" xfId="0" applyFont="1" applyFill="1" applyBorder="1" applyAlignment="1">
      <alignment vertical="center"/>
    </xf>
    <xf numFmtId="0" fontId="45" fillId="26" borderId="13" xfId="0" applyFont="1" applyFill="1" applyBorder="1" applyAlignment="1">
      <alignment horizontal="left" vertical="center"/>
    </xf>
    <xf numFmtId="0" fontId="1" fillId="26" borderId="11" xfId="0" applyFont="1" applyFill="1" applyBorder="1" applyAlignment="1">
      <alignment vertical="top"/>
    </xf>
    <xf numFmtId="0" fontId="1" fillId="26" borderId="11" xfId="0" applyFont="1" applyFill="1" applyBorder="1" applyAlignment="1">
      <alignment horizontal="left" vertical="top"/>
    </xf>
    <xf numFmtId="0" fontId="1" fillId="26" borderId="13" xfId="0" applyFont="1" applyFill="1" applyBorder="1" applyAlignment="1">
      <alignment vertical="top"/>
    </xf>
    <xf numFmtId="0" fontId="1" fillId="26" borderId="13" xfId="0" applyFont="1" applyFill="1" applyBorder="1" applyAlignment="1">
      <alignment horizontal="left" vertical="top"/>
    </xf>
    <xf numFmtId="0" fontId="1" fillId="20" borderId="68" xfId="0" applyFont="1" applyFill="1" applyBorder="1" applyAlignment="1">
      <alignment horizontal="center" vertical="center" wrapText="1"/>
    </xf>
    <xf numFmtId="0" fontId="47" fillId="0" borderId="0" xfId="0" applyFont="1" applyAlignment="1">
      <alignment vertical="top" wrapText="1"/>
    </xf>
    <xf numFmtId="0" fontId="47" fillId="0" borderId="0" xfId="0" applyFont="1" applyAlignment="1">
      <alignment vertical="top"/>
    </xf>
    <xf numFmtId="0" fontId="49" fillId="0" borderId="0" xfId="0" applyFont="1" applyAlignment="1">
      <alignment vertical="top"/>
    </xf>
    <xf numFmtId="171" fontId="2" fillId="0" borderId="0" xfId="0" applyNumberFormat="1" applyFont="1" applyAlignment="1">
      <alignment horizontal="right" vertical="top"/>
    </xf>
    <xf numFmtId="171" fontId="20" fillId="0" borderId="0" xfId="0" applyNumberFormat="1" applyFont="1" applyAlignment="1">
      <alignment horizontal="right" vertical="center"/>
    </xf>
    <xf numFmtId="171" fontId="30" fillId="0" borderId="0" xfId="0" applyNumberFormat="1" applyFont="1" applyAlignment="1">
      <alignment horizontal="right" vertical="center"/>
    </xf>
    <xf numFmtId="171" fontId="2" fillId="0" borderId="0" xfId="0" applyNumberFormat="1" applyFont="1" applyAlignment="1">
      <alignment horizontal="right" vertical="top" wrapText="1"/>
    </xf>
    <xf numFmtId="171" fontId="1" fillId="0" borderId="8" xfId="0" applyNumberFormat="1" applyFont="1" applyBorder="1" applyAlignment="1">
      <alignment horizontal="right" vertical="top"/>
    </xf>
    <xf numFmtId="171" fontId="2" fillId="0" borderId="0" xfId="0" applyNumberFormat="1" applyFont="1" applyAlignment="1">
      <alignment horizontal="right"/>
    </xf>
    <xf numFmtId="0" fontId="46" fillId="0" borderId="0" xfId="0" applyFont="1" applyAlignment="1">
      <alignment vertical="top" wrapText="1"/>
    </xf>
    <xf numFmtId="0" fontId="47" fillId="3" borderId="11" xfId="0" applyFont="1" applyFill="1" applyBorder="1" applyAlignment="1">
      <alignment vertical="center"/>
    </xf>
    <xf numFmtId="0" fontId="47" fillId="3" borderId="13" xfId="0" applyFont="1" applyFill="1" applyBorder="1" applyAlignment="1">
      <alignment vertical="center"/>
    </xf>
    <xf numFmtId="0" fontId="47" fillId="0" borderId="26" xfId="0" applyFont="1" applyBorder="1" applyAlignment="1">
      <alignment vertical="top"/>
    </xf>
    <xf numFmtId="0" fontId="47" fillId="3" borderId="11" xfId="0" applyFont="1" applyFill="1" applyBorder="1" applyAlignment="1">
      <alignment vertical="top"/>
    </xf>
    <xf numFmtId="0" fontId="47" fillId="3" borderId="13" xfId="0" applyFont="1" applyFill="1" applyBorder="1" applyAlignment="1">
      <alignment vertical="top"/>
    </xf>
    <xf numFmtId="171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71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6" fillId="0" borderId="0" xfId="0" applyFont="1" applyAlignment="1">
      <alignment vertical="top"/>
    </xf>
    <xf numFmtId="0" fontId="2" fillId="0" borderId="11" xfId="0" applyFont="1" applyBorder="1" applyAlignment="1">
      <alignment horizontal="left" vertical="top"/>
    </xf>
    <xf numFmtId="164" fontId="2" fillId="0" borderId="7" xfId="0" applyNumberFormat="1" applyFont="1" applyFill="1" applyBorder="1" applyAlignment="1">
      <alignment vertical="top"/>
    </xf>
    <xf numFmtId="171" fontId="2" fillId="0" borderId="11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164" fontId="12" fillId="0" borderId="7" xfId="0" applyNumberFormat="1" applyFont="1" applyFill="1" applyBorder="1" applyAlignment="1">
      <alignment vertical="top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164" fontId="1" fillId="0" borderId="0" xfId="0" applyNumberFormat="1" applyFont="1" applyAlignment="1">
      <alignment horizontal="center"/>
    </xf>
    <xf numFmtId="0" fontId="2" fillId="0" borderId="64" xfId="0" applyFont="1" applyBorder="1" applyAlignment="1">
      <alignment horizontal="left" vertical="top"/>
    </xf>
    <xf numFmtId="164" fontId="2" fillId="0" borderId="35" xfId="0" applyNumberFormat="1" applyFont="1" applyBorder="1" applyAlignment="1">
      <alignment vertical="top"/>
    </xf>
    <xf numFmtId="0" fontId="2" fillId="0" borderId="70" xfId="0" applyFont="1" applyBorder="1" applyAlignment="1">
      <alignment vertical="top" wrapText="1"/>
    </xf>
    <xf numFmtId="0" fontId="2" fillId="0" borderId="70" xfId="0" applyFont="1" applyBorder="1"/>
    <xf numFmtId="164" fontId="2" fillId="0" borderId="69" xfId="0" applyNumberFormat="1" applyFont="1" applyBorder="1" applyAlignment="1">
      <alignment vertical="top"/>
    </xf>
    <xf numFmtId="164" fontId="4" fillId="0" borderId="69" xfId="0" applyNumberFormat="1" applyFont="1" applyBorder="1"/>
    <xf numFmtId="0" fontId="2" fillId="0" borderId="69" xfId="0" applyFont="1" applyBorder="1"/>
    <xf numFmtId="164" fontId="4" fillId="0" borderId="70" xfId="0" applyNumberFormat="1" applyFont="1" applyBorder="1"/>
    <xf numFmtId="164" fontId="2" fillId="0" borderId="70" xfId="0" applyNumberFormat="1" applyFont="1" applyBorder="1" applyAlignment="1">
      <alignment vertical="top"/>
    </xf>
    <xf numFmtId="164" fontId="6" fillId="0" borderId="69" xfId="0" applyNumberFormat="1" applyFont="1" applyBorder="1" applyAlignment="1">
      <alignment vertical="top"/>
    </xf>
    <xf numFmtId="164" fontId="2" fillId="0" borderId="0" xfId="0" applyNumberFormat="1" applyFont="1" applyFill="1"/>
    <xf numFmtId="164" fontId="2" fillId="0" borderId="27" xfId="0" applyNumberFormat="1" applyFont="1" applyFill="1" applyBorder="1"/>
    <xf numFmtId="0" fontId="2" fillId="0" borderId="0" xfId="0" applyFont="1" applyFill="1"/>
    <xf numFmtId="43" fontId="2" fillId="0" borderId="0" xfId="0" applyNumberFormat="1" applyFont="1"/>
    <xf numFmtId="164" fontId="1" fillId="0" borderId="0" xfId="0" applyNumberFormat="1" applyFont="1" applyFill="1"/>
    <xf numFmtId="164" fontId="5" fillId="0" borderId="0" xfId="0" applyNumberFormat="1" applyFont="1" applyFill="1"/>
    <xf numFmtId="164" fontId="21" fillId="0" borderId="0" xfId="0" applyNumberFormat="1" applyFont="1" applyFill="1"/>
    <xf numFmtId="164" fontId="21" fillId="0" borderId="27" xfId="0" applyNumberFormat="1" applyFont="1" applyFill="1" applyBorder="1"/>
    <xf numFmtId="0" fontId="2" fillId="0" borderId="0" xfId="0" applyFont="1"/>
    <xf numFmtId="0" fontId="16" fillId="0" borderId="0" xfId="0" applyFont="1" applyAlignment="1">
      <alignment horizontal="right" wrapText="1"/>
    </xf>
    <xf numFmtId="164" fontId="2" fillId="0" borderId="0" xfId="0" applyNumberFormat="1" applyFont="1" applyAlignment="1">
      <alignment horizontal="right" wrapText="1"/>
    </xf>
    <xf numFmtId="0" fontId="2" fillId="0" borderId="0" xfId="0" applyFont="1"/>
    <xf numFmtId="0" fontId="2" fillId="0" borderId="0" xfId="0" applyFont="1" applyFill="1" applyAlignment="1">
      <alignment vertical="top" wrapText="1"/>
    </xf>
    <xf numFmtId="0" fontId="1" fillId="2" borderId="55" xfId="0" applyFont="1" applyFill="1" applyBorder="1" applyAlignment="1">
      <alignment vertical="top"/>
    </xf>
    <xf numFmtId="164" fontId="1" fillId="2" borderId="55" xfId="0" applyNumberFormat="1" applyFont="1" applyFill="1" applyBorder="1" applyAlignment="1">
      <alignment vertical="top"/>
    </xf>
    <xf numFmtId="0" fontId="2" fillId="0" borderId="62" xfId="0" applyFont="1" applyBorder="1" applyAlignment="1">
      <alignment vertical="top"/>
    </xf>
    <xf numFmtId="0" fontId="2" fillId="0" borderId="62" xfId="0" applyFont="1" applyBorder="1"/>
    <xf numFmtId="14" fontId="2" fillId="18" borderId="0" xfId="0" applyNumberFormat="1" applyFont="1" applyFill="1"/>
    <xf numFmtId="169" fontId="2" fillId="18" borderId="0" xfId="0" applyNumberFormat="1" applyFont="1" applyFill="1"/>
    <xf numFmtId="0" fontId="2" fillId="0" borderId="0" xfId="0" applyFont="1"/>
    <xf numFmtId="169" fontId="5" fillId="0" borderId="0" xfId="0" applyNumberFormat="1" applyFont="1" applyFill="1"/>
    <xf numFmtId="169" fontId="2" fillId="0" borderId="0" xfId="0" applyNumberFormat="1" applyFont="1" applyFill="1"/>
    <xf numFmtId="0" fontId="2" fillId="0" borderId="0" xfId="0" applyFont="1"/>
    <xf numFmtId="14" fontId="1" fillId="0" borderId="0" xfId="0" applyNumberFormat="1" applyFont="1" applyFill="1"/>
    <xf numFmtId="164" fontId="4" fillId="0" borderId="0" xfId="0" applyNumberFormat="1" applyFont="1" applyFill="1"/>
    <xf numFmtId="164" fontId="2" fillId="0" borderId="0" xfId="0" applyNumberFormat="1" applyFont="1" applyFill="1" applyAlignment="1">
      <alignment horizontal="right"/>
    </xf>
    <xf numFmtId="164" fontId="9" fillId="0" borderId="7" xfId="0" applyNumberFormat="1" applyFont="1" applyFill="1" applyBorder="1" applyAlignment="1">
      <alignment vertical="top"/>
    </xf>
    <xf numFmtId="164" fontId="25" fillId="0" borderId="7" xfId="0" applyNumberFormat="1" applyFont="1" applyFill="1" applyBorder="1" applyAlignment="1">
      <alignment vertical="top"/>
    </xf>
    <xf numFmtId="164" fontId="9" fillId="2" borderId="55" xfId="0" applyNumberFormat="1" applyFont="1" applyFill="1" applyBorder="1" applyAlignment="1">
      <alignment vertical="top"/>
    </xf>
    <xf numFmtId="164" fontId="25" fillId="27" borderId="7" xfId="0" applyNumberFormat="1" applyFont="1" applyFill="1" applyBorder="1" applyAlignment="1">
      <alignment vertical="top"/>
    </xf>
    <xf numFmtId="164" fontId="9" fillId="27" borderId="7" xfId="0" applyNumberFormat="1" applyFont="1" applyFill="1" applyBorder="1" applyAlignment="1">
      <alignment vertical="top"/>
    </xf>
    <xf numFmtId="164" fontId="25" fillId="0" borderId="54" xfId="0" applyNumberFormat="1" applyFont="1" applyFill="1" applyBorder="1" applyAlignment="1">
      <alignment vertical="top"/>
    </xf>
    <xf numFmtId="164" fontId="25" fillId="27" borderId="54" xfId="0" applyNumberFormat="1" applyFont="1" applyFill="1" applyBorder="1" applyAlignment="1">
      <alignment vertical="top"/>
    </xf>
    <xf numFmtId="0" fontId="2" fillId="0" borderId="13" xfId="0" applyFont="1" applyBorder="1" applyAlignment="1">
      <alignment vertical="top"/>
    </xf>
    <xf numFmtId="164" fontId="25" fillId="0" borderId="13" xfId="0" applyNumberFormat="1" applyFont="1" applyBorder="1" applyAlignment="1">
      <alignment vertical="top"/>
    </xf>
    <xf numFmtId="164" fontId="2" fillId="0" borderId="13" xfId="0" applyNumberFormat="1" applyFont="1" applyBorder="1" applyAlignment="1">
      <alignment horizontal="center" vertical="top"/>
    </xf>
    <xf numFmtId="164" fontId="25" fillId="0" borderId="13" xfId="0" applyNumberFormat="1" applyFont="1" applyBorder="1" applyAlignment="1">
      <alignment horizontal="center" vertical="top"/>
    </xf>
    <xf numFmtId="0" fontId="2" fillId="0" borderId="0" xfId="0" applyFont="1"/>
    <xf numFmtId="0" fontId="2" fillId="0" borderId="0" xfId="0" applyFont="1"/>
    <xf numFmtId="164" fontId="1" fillId="20" borderId="45" xfId="0" applyNumberFormat="1" applyFont="1" applyFill="1" applyBorder="1" applyAlignment="1">
      <alignment horizontal="center" vertical="center" wrapText="1"/>
    </xf>
    <xf numFmtId="164" fontId="1" fillId="20" borderId="46" xfId="0" applyNumberFormat="1" applyFont="1" applyFill="1" applyBorder="1" applyAlignment="1">
      <alignment horizontal="center" vertical="center" wrapText="1"/>
    </xf>
    <xf numFmtId="164" fontId="1" fillId="23" borderId="46" xfId="0" applyNumberFormat="1" applyFont="1" applyFill="1" applyBorder="1" applyAlignment="1">
      <alignment horizontal="center" vertical="center" wrapText="1"/>
    </xf>
    <xf numFmtId="164" fontId="20" fillId="20" borderId="47" xfId="0" applyNumberFormat="1" applyFont="1" applyFill="1" applyBorder="1" applyAlignment="1">
      <alignment horizontal="center" vertical="center" wrapText="1"/>
    </xf>
    <xf numFmtId="171" fontId="1" fillId="20" borderId="12" xfId="0" applyNumberFormat="1" applyFont="1" applyFill="1" applyBorder="1" applyAlignment="1">
      <alignment horizontal="center" vertical="center"/>
    </xf>
    <xf numFmtId="0" fontId="1" fillId="20" borderId="12" xfId="0" applyFont="1" applyFill="1" applyBorder="1" applyAlignment="1">
      <alignment horizontal="center" vertical="center"/>
    </xf>
    <xf numFmtId="164" fontId="1" fillId="20" borderId="12" xfId="0" applyNumberFormat="1" applyFont="1" applyFill="1" applyBorder="1" applyAlignment="1">
      <alignment horizontal="center" vertical="center" wrapText="1"/>
    </xf>
    <xf numFmtId="164" fontId="20" fillId="20" borderId="12" xfId="0" applyNumberFormat="1" applyFont="1" applyFill="1" applyBorder="1" applyAlignment="1">
      <alignment horizontal="center" vertical="center"/>
    </xf>
    <xf numFmtId="171" fontId="20" fillId="0" borderId="12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164" fontId="20" fillId="0" borderId="12" xfId="0" applyNumberFormat="1" applyFont="1" applyBorder="1" applyAlignment="1">
      <alignment vertical="center"/>
    </xf>
    <xf numFmtId="171" fontId="20" fillId="0" borderId="11" xfId="0" applyNumberFormat="1" applyFont="1" applyBorder="1" applyAlignment="1">
      <alignment horizontal="center" vertical="center"/>
    </xf>
    <xf numFmtId="0" fontId="20" fillId="0" borderId="11" xfId="0" applyFont="1" applyBorder="1" applyAlignment="1">
      <alignment horizontal="left" vertical="center"/>
    </xf>
    <xf numFmtId="171" fontId="21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164" fontId="2" fillId="0" borderId="11" xfId="0" applyNumberFormat="1" applyFont="1" applyBorder="1" applyAlignment="1">
      <alignment vertical="center"/>
    </xf>
    <xf numFmtId="164" fontId="30" fillId="0" borderId="11" xfId="0" applyNumberFormat="1" applyFont="1" applyBorder="1" applyAlignment="1">
      <alignment vertical="top"/>
    </xf>
    <xf numFmtId="171" fontId="2" fillId="0" borderId="13" xfId="0" applyNumberFormat="1" applyFont="1" applyBorder="1" applyAlignment="1">
      <alignment horizontal="center" vertical="top"/>
    </xf>
    <xf numFmtId="0" fontId="2" fillId="0" borderId="36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36" xfId="0" applyFont="1" applyBorder="1" applyAlignment="1">
      <alignment vertical="top"/>
    </xf>
    <xf numFmtId="171" fontId="21" fillId="0" borderId="11" xfId="0" applyNumberFormat="1" applyFont="1" applyBorder="1" applyAlignment="1">
      <alignment horizontal="center" vertical="top"/>
    </xf>
    <xf numFmtId="164" fontId="20" fillId="0" borderId="11" xfId="0" applyNumberFormat="1" applyFont="1" applyBorder="1" applyAlignment="1">
      <alignment vertical="top"/>
    </xf>
    <xf numFmtId="164" fontId="20" fillId="0" borderId="13" xfId="0" applyNumberFormat="1" applyFont="1" applyBorder="1" applyAlignment="1">
      <alignment vertical="top"/>
    </xf>
    <xf numFmtId="171" fontId="1" fillId="0" borderId="36" xfId="0" applyNumberFormat="1" applyFont="1" applyBorder="1" applyAlignment="1">
      <alignment vertical="center"/>
    </xf>
    <xf numFmtId="0" fontId="16" fillId="0" borderId="36" xfId="0" applyFont="1" applyBorder="1"/>
    <xf numFmtId="0" fontId="30" fillId="0" borderId="36" xfId="0" applyFont="1" applyBorder="1"/>
    <xf numFmtId="171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171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171" fontId="3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164" fontId="20" fillId="0" borderId="13" xfId="0" applyNumberFormat="1" applyFont="1" applyBorder="1" applyAlignment="1">
      <alignment vertical="center"/>
    </xf>
    <xf numFmtId="171" fontId="21" fillId="0" borderId="12" xfId="0" applyNumberFormat="1" applyFont="1" applyBorder="1" applyAlignment="1">
      <alignment horizontal="center" vertical="top"/>
    </xf>
    <xf numFmtId="0" fontId="2" fillId="0" borderId="12" xfId="0" applyFont="1" applyBorder="1" applyAlignment="1">
      <alignment horizontal="left" vertical="top"/>
    </xf>
    <xf numFmtId="164" fontId="2" fillId="0" borderId="12" xfId="0" applyNumberFormat="1" applyFont="1" applyBorder="1" applyAlignment="1">
      <alignment vertical="top"/>
    </xf>
    <xf numFmtId="171" fontId="16" fillId="0" borderId="11" xfId="0" applyNumberFormat="1" applyFont="1" applyBorder="1" applyAlignment="1">
      <alignment horizontal="center" vertical="top"/>
    </xf>
    <xf numFmtId="17" fontId="2" fillId="0" borderId="0" xfId="0" applyNumberFormat="1" applyFont="1" applyAlignment="1">
      <alignment vertical="top"/>
    </xf>
    <xf numFmtId="164" fontId="2" fillId="0" borderId="39" xfId="0" applyNumberFormat="1" applyFont="1" applyBorder="1" applyAlignment="1">
      <alignment vertical="top"/>
    </xf>
    <xf numFmtId="0" fontId="16" fillId="0" borderId="11" xfId="0" applyFont="1" applyBorder="1" applyAlignment="1">
      <alignment horizontal="left" vertical="top"/>
    </xf>
    <xf numFmtId="164" fontId="7" fillId="0" borderId="11" xfId="0" applyNumberFormat="1" applyFont="1" applyBorder="1" applyAlignment="1">
      <alignment vertical="top"/>
    </xf>
    <xf numFmtId="164" fontId="16" fillId="0" borderId="11" xfId="0" applyNumberFormat="1" applyFont="1" applyBorder="1" applyAlignment="1">
      <alignment vertical="top"/>
    </xf>
    <xf numFmtId="164" fontId="7" fillId="0" borderId="39" xfId="0" applyNumberFormat="1" applyFont="1" applyBorder="1" applyAlignment="1">
      <alignment vertical="top"/>
    </xf>
    <xf numFmtId="164" fontId="16" fillId="0" borderId="0" xfId="0" quotePrefix="1" applyNumberFormat="1" applyFont="1" applyAlignment="1">
      <alignment vertical="top" wrapText="1"/>
    </xf>
    <xf numFmtId="171" fontId="2" fillId="0" borderId="35" xfId="0" applyNumberFormat="1" applyFont="1" applyBorder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47" fillId="0" borderId="36" xfId="0" applyFont="1" applyBorder="1" applyAlignment="1">
      <alignment vertical="top"/>
    </xf>
    <xf numFmtId="164" fontId="2" fillId="0" borderId="40" xfId="0" applyNumberFormat="1" applyFont="1" applyBorder="1" applyAlignment="1">
      <alignment vertical="top"/>
    </xf>
    <xf numFmtId="164" fontId="30" fillId="0" borderId="12" xfId="0" applyNumberFormat="1" applyFont="1" applyBorder="1" applyAlignment="1">
      <alignment vertical="top"/>
    </xf>
    <xf numFmtId="164" fontId="16" fillId="0" borderId="39" xfId="0" applyNumberFormat="1" applyFont="1" applyBorder="1" applyAlignment="1">
      <alignment vertical="top"/>
    </xf>
    <xf numFmtId="164" fontId="20" fillId="0" borderId="12" xfId="0" applyNumberFormat="1" applyFont="1" applyBorder="1" applyAlignment="1">
      <alignment vertical="top"/>
    </xf>
    <xf numFmtId="171" fontId="29" fillId="0" borderId="11" xfId="0" applyNumberFormat="1" applyFont="1" applyBorder="1" applyAlignment="1">
      <alignment horizontal="center" vertical="top"/>
    </xf>
    <xf numFmtId="171" fontId="7" fillId="0" borderId="11" xfId="0" applyNumberFormat="1" applyFont="1" applyBorder="1" applyAlignment="1">
      <alignment horizontal="center" vertical="top"/>
    </xf>
    <xf numFmtId="0" fontId="7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top"/>
    </xf>
    <xf numFmtId="164" fontId="1" fillId="24" borderId="12" xfId="0" applyNumberFormat="1" applyFont="1" applyFill="1" applyBorder="1" applyAlignment="1">
      <alignment horizontal="center" vertical="center" wrapText="1"/>
    </xf>
    <xf numFmtId="164" fontId="20" fillId="20" borderId="12" xfId="0" applyNumberFormat="1" applyFont="1" applyFill="1" applyBorder="1" applyAlignment="1">
      <alignment horizontal="center" vertical="center" wrapText="1"/>
    </xf>
    <xf numFmtId="171" fontId="30" fillId="0" borderId="11" xfId="0" applyNumberFormat="1" applyFont="1" applyBorder="1" applyAlignment="1">
      <alignment horizontal="center" vertical="center"/>
    </xf>
    <xf numFmtId="0" fontId="30" fillId="0" borderId="11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vertical="top"/>
    </xf>
    <xf numFmtId="171" fontId="2" fillId="0" borderId="11" xfId="0" applyNumberFormat="1" applyFont="1" applyBorder="1" applyAlignment="1">
      <alignment horizontal="center" vertical="top" wrapText="1"/>
    </xf>
    <xf numFmtId="164" fontId="5" fillId="0" borderId="11" xfId="0" applyNumberFormat="1" applyFont="1" applyBorder="1" applyAlignment="1">
      <alignment vertical="top"/>
    </xf>
    <xf numFmtId="0" fontId="2" fillId="0" borderId="36" xfId="0" applyFont="1" applyBorder="1" applyAlignment="1">
      <alignment horizontal="center" vertical="top"/>
    </xf>
    <xf numFmtId="171" fontId="1" fillId="0" borderId="39" xfId="0" applyNumberFormat="1" applyFont="1" applyBorder="1" applyAlignment="1">
      <alignment horizontal="right" vertical="top"/>
    </xf>
    <xf numFmtId="0" fontId="2" fillId="0" borderId="12" xfId="0" applyFont="1" applyBorder="1" applyAlignment="1">
      <alignment horizontal="center" vertical="top"/>
    </xf>
    <xf numFmtId="171" fontId="1" fillId="20" borderId="12" xfId="0" applyNumberFormat="1" applyFont="1" applyFill="1" applyBorder="1" applyAlignment="1">
      <alignment horizontal="center" vertical="top" wrapText="1"/>
    </xf>
    <xf numFmtId="0" fontId="1" fillId="20" borderId="12" xfId="0" applyFont="1" applyFill="1" applyBorder="1" applyAlignment="1">
      <alignment horizontal="center" vertical="top" wrapText="1"/>
    </xf>
    <xf numFmtId="164" fontId="1" fillId="20" borderId="12" xfId="0" applyNumberFormat="1" applyFont="1" applyFill="1" applyBorder="1" applyAlignment="1">
      <alignment horizontal="center" vertical="top" wrapText="1"/>
    </xf>
    <xf numFmtId="164" fontId="1" fillId="20" borderId="34" xfId="0" applyNumberFormat="1" applyFont="1" applyFill="1" applyBorder="1" applyAlignment="1">
      <alignment horizontal="center" vertical="top" wrapText="1"/>
    </xf>
    <xf numFmtId="164" fontId="1" fillId="25" borderId="12" xfId="0" applyNumberFormat="1" applyFont="1" applyFill="1" applyBorder="1" applyAlignment="1">
      <alignment horizontal="center" vertical="top" wrapText="1"/>
    </xf>
    <xf numFmtId="164" fontId="20" fillId="0" borderId="11" xfId="0" applyNumberFormat="1" applyFont="1" applyFill="1" applyBorder="1" applyAlignment="1">
      <alignment vertical="center"/>
    </xf>
    <xf numFmtId="164" fontId="20" fillId="0" borderId="35" xfId="0" applyNumberFormat="1" applyFont="1" applyFill="1" applyBorder="1" applyAlignment="1">
      <alignment vertical="center"/>
    </xf>
    <xf numFmtId="164" fontId="20" fillId="0" borderId="39" xfId="0" applyNumberFormat="1" applyFont="1" applyBorder="1" applyAlignment="1">
      <alignment vertical="center"/>
    </xf>
    <xf numFmtId="164" fontId="30" fillId="0" borderId="39" xfId="0" applyNumberFormat="1" applyFont="1" applyBorder="1" applyAlignment="1">
      <alignment vertical="center"/>
    </xf>
    <xf numFmtId="164" fontId="2" fillId="0" borderId="39" xfId="0" applyNumberFormat="1" applyFont="1" applyBorder="1" applyAlignment="1">
      <alignment vertical="center"/>
    </xf>
    <xf numFmtId="164" fontId="6" fillId="0" borderId="11" xfId="0" applyNumberFormat="1" applyFont="1" applyBorder="1" applyAlignment="1">
      <alignment vertical="center"/>
    </xf>
    <xf numFmtId="164" fontId="6" fillId="0" borderId="11" xfId="0" applyNumberFormat="1" applyFont="1" applyBorder="1" applyAlignment="1">
      <alignment vertical="top"/>
    </xf>
    <xf numFmtId="164" fontId="4" fillId="0" borderId="11" xfId="0" applyNumberFormat="1" applyFont="1" applyBorder="1" applyAlignment="1">
      <alignment vertical="top"/>
    </xf>
    <xf numFmtId="164" fontId="4" fillId="0" borderId="12" xfId="0" applyNumberFormat="1" applyFont="1" applyBorder="1" applyAlignment="1">
      <alignment vertical="top"/>
    </xf>
    <xf numFmtId="171" fontId="1" fillId="20" borderId="12" xfId="0" applyNumberFormat="1" applyFont="1" applyFill="1" applyBorder="1" applyAlignment="1">
      <alignment horizontal="center" vertical="center" wrapText="1"/>
    </xf>
    <xf numFmtId="0" fontId="1" fillId="20" borderId="12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164" fontId="12" fillId="0" borderId="11" xfId="0" applyNumberFormat="1" applyFont="1" applyBorder="1" applyAlignment="1">
      <alignment vertical="center"/>
    </xf>
    <xf numFmtId="14" fontId="21" fillId="0" borderId="11" xfId="0" applyNumberFormat="1" applyFont="1" applyBorder="1" applyAlignment="1">
      <alignment horizontal="center" vertical="top"/>
    </xf>
    <xf numFmtId="14" fontId="2" fillId="0" borderId="11" xfId="0" applyNumberFormat="1" applyFont="1" applyBorder="1" applyAlignment="1">
      <alignment vertical="top"/>
    </xf>
    <xf numFmtId="164" fontId="6" fillId="0" borderId="13" xfId="0" applyNumberFormat="1" applyFont="1" applyBorder="1" applyAlignment="1">
      <alignment vertical="top"/>
    </xf>
    <xf numFmtId="14" fontId="8" fillId="0" borderId="11" xfId="0" applyNumberFormat="1" applyFont="1" applyBorder="1" applyAlignment="1">
      <alignment vertical="top"/>
    </xf>
    <xf numFmtId="0" fontId="8" fillId="0" borderId="11" xfId="0" applyFont="1" applyBorder="1" applyAlignment="1">
      <alignment horizontal="left" vertical="top"/>
    </xf>
    <xf numFmtId="14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4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vertical="center"/>
    </xf>
    <xf numFmtId="14" fontId="5" fillId="0" borderId="11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horizontal="center" vertical="center"/>
    </xf>
    <xf numFmtId="14" fontId="16" fillId="0" borderId="11" xfId="0" applyNumberFormat="1" applyFont="1" applyBorder="1" applyAlignment="1">
      <alignment horizontal="center" vertical="top"/>
    </xf>
    <xf numFmtId="14" fontId="16" fillId="0" borderId="13" xfId="0" applyNumberFormat="1" applyFont="1" applyBorder="1" applyAlignment="1">
      <alignment horizontal="center" vertical="top"/>
    </xf>
    <xf numFmtId="0" fontId="16" fillId="0" borderId="36" xfId="0" applyFont="1" applyBorder="1" applyAlignment="1">
      <alignment horizontal="left" vertical="top"/>
    </xf>
    <xf numFmtId="0" fontId="16" fillId="0" borderId="13" xfId="0" applyFont="1" applyBorder="1" applyAlignment="1">
      <alignment horizontal="left" vertical="top"/>
    </xf>
    <xf numFmtId="0" fontId="46" fillId="0" borderId="36" xfId="0" applyFont="1" applyBorder="1" applyAlignment="1">
      <alignment vertical="top"/>
    </xf>
    <xf numFmtId="14" fontId="5" fillId="0" borderId="11" xfId="0" applyNumberFormat="1" applyFont="1" applyBorder="1" applyAlignment="1">
      <alignment horizontal="center" vertical="top"/>
    </xf>
    <xf numFmtId="14" fontId="2" fillId="0" borderId="11" xfId="0" applyNumberFormat="1" applyFont="1" applyBorder="1" applyAlignment="1">
      <alignment horizontal="center" vertical="top"/>
    </xf>
    <xf numFmtId="14" fontId="8" fillId="0" borderId="11" xfId="0" applyNumberFormat="1" applyFont="1" applyBorder="1" applyAlignment="1">
      <alignment horizontal="center" vertical="top"/>
    </xf>
    <xf numFmtId="14" fontId="1" fillId="2" borderId="55" xfId="0" applyNumberFormat="1" applyFont="1" applyFill="1" applyBorder="1" applyAlignment="1">
      <alignment horizontal="center" vertical="top"/>
    </xf>
    <xf numFmtId="0" fontId="1" fillId="2" borderId="55" xfId="0" applyFont="1" applyFill="1" applyBorder="1" applyAlignment="1">
      <alignment horizontal="left" vertical="top"/>
    </xf>
    <xf numFmtId="14" fontId="5" fillId="0" borderId="63" xfId="0" applyNumberFormat="1" applyFont="1" applyBorder="1" applyAlignment="1">
      <alignment horizontal="center" vertical="top"/>
    </xf>
    <xf numFmtId="164" fontId="2" fillId="0" borderId="63" xfId="0" applyNumberFormat="1" applyFont="1" applyBorder="1" applyAlignment="1">
      <alignment vertical="top"/>
    </xf>
    <xf numFmtId="164" fontId="2" fillId="0" borderId="71" xfId="0" applyNumberFormat="1" applyFont="1" applyBorder="1" applyAlignment="1">
      <alignment vertical="top"/>
    </xf>
    <xf numFmtId="164" fontId="4" fillId="0" borderId="72" xfId="0" applyNumberFormat="1" applyFont="1" applyBorder="1" applyAlignment="1">
      <alignment vertical="top"/>
    </xf>
    <xf numFmtId="0" fontId="2" fillId="0" borderId="73" xfId="0" applyFont="1" applyBorder="1"/>
    <xf numFmtId="0" fontId="2" fillId="0" borderId="74" xfId="0" applyFont="1" applyBorder="1"/>
    <xf numFmtId="164" fontId="1" fillId="2" borderId="75" xfId="0" applyNumberFormat="1" applyFont="1" applyFill="1" applyBorder="1" applyAlignment="1">
      <alignment vertical="top"/>
    </xf>
    <xf numFmtId="164" fontId="1" fillId="0" borderId="12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4" fontId="1" fillId="0" borderId="70" xfId="0" applyNumberFormat="1" applyFont="1" applyBorder="1"/>
    <xf numFmtId="171" fontId="16" fillId="0" borderId="0" xfId="0" quotePrefix="1" applyNumberFormat="1" applyFont="1" applyAlignment="1">
      <alignment horizontal="right" vertical="top" wrapText="1"/>
    </xf>
    <xf numFmtId="171" fontId="16" fillId="0" borderId="0" xfId="0" applyNumberFormat="1" applyFont="1" applyAlignment="1">
      <alignment horizontal="right" vertical="top"/>
    </xf>
    <xf numFmtId="171" fontId="16" fillId="0" borderId="27" xfId="0" applyNumberFormat="1" applyFont="1" applyBorder="1" applyAlignment="1">
      <alignment horizontal="right" vertical="center"/>
    </xf>
    <xf numFmtId="171" fontId="16" fillId="0" borderId="0" xfId="0" applyNumberFormat="1" applyFont="1" applyAlignment="1">
      <alignment horizontal="right" vertical="top" wrapText="1"/>
    </xf>
    <xf numFmtId="171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4" fontId="2" fillId="0" borderId="0" xfId="0" applyNumberFormat="1" applyFont="1" applyFill="1" applyAlignment="1">
      <alignment horizontal="right" vertical="center"/>
    </xf>
    <xf numFmtId="4" fontId="2" fillId="0" borderId="0" xfId="0" applyNumberFormat="1" applyFont="1"/>
    <xf numFmtId="167" fontId="1" fillId="0" borderId="0" xfId="0" applyNumberFormat="1" applyFont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167" fontId="2" fillId="0" borderId="0" xfId="0" applyNumberFormat="1" applyFont="1" applyAlignment="1">
      <alignment horizontal="right" vertical="center"/>
    </xf>
    <xf numFmtId="167" fontId="2" fillId="0" borderId="0" xfId="0" applyNumberFormat="1" applyFont="1" applyAlignment="1">
      <alignment horizontal="right" vertical="top" wrapText="1"/>
    </xf>
    <xf numFmtId="167" fontId="2" fillId="0" borderId="0" xfId="0" applyNumberFormat="1" applyFont="1" applyAlignment="1">
      <alignment horizontal="right" vertical="top"/>
    </xf>
    <xf numFmtId="167" fontId="7" fillId="0" borderId="0" xfId="0" applyNumberFormat="1" applyFont="1" applyAlignment="1">
      <alignment horizontal="right" vertical="top"/>
    </xf>
    <xf numFmtId="167" fontId="1" fillId="0" borderId="0" xfId="0" applyNumberFormat="1" applyFont="1" applyAlignment="1">
      <alignment horizontal="right" vertical="top"/>
    </xf>
    <xf numFmtId="167" fontId="23" fillId="0" borderId="30" xfId="0" applyNumberFormat="1" applyFont="1" applyBorder="1" applyAlignment="1">
      <alignment horizontal="right" vertical="top" wrapText="1"/>
    </xf>
    <xf numFmtId="167" fontId="2" fillId="0" borderId="7" xfId="0" applyNumberFormat="1" applyFont="1" applyBorder="1" applyAlignment="1">
      <alignment horizontal="right" vertical="top"/>
    </xf>
    <xf numFmtId="167" fontId="2" fillId="0" borderId="42" xfId="0" applyNumberFormat="1" applyFont="1" applyBorder="1" applyAlignment="1">
      <alignment horizontal="right" vertical="top" wrapText="1"/>
    </xf>
    <xf numFmtId="167" fontId="2" fillId="9" borderId="32" xfId="0" applyNumberFormat="1" applyFont="1" applyFill="1" applyBorder="1" applyAlignment="1">
      <alignment horizontal="right" wrapText="1" readingOrder="1"/>
    </xf>
    <xf numFmtId="167" fontId="5" fillId="0" borderId="42" xfId="0" applyNumberFormat="1" applyFont="1" applyBorder="1" applyAlignment="1">
      <alignment horizontal="right" vertical="top" wrapText="1"/>
    </xf>
    <xf numFmtId="167" fontId="7" fillId="0" borderId="0" xfId="0" applyNumberFormat="1" applyFont="1" applyAlignment="1">
      <alignment horizontal="right" vertical="top" wrapText="1"/>
    </xf>
    <xf numFmtId="167" fontId="5" fillId="0" borderId="0" xfId="0" applyNumberFormat="1" applyFont="1" applyAlignment="1">
      <alignment horizontal="right" vertical="top" wrapText="1"/>
    </xf>
    <xf numFmtId="167" fontId="38" fillId="0" borderId="0" xfId="0" applyNumberFormat="1" applyFont="1" applyAlignment="1">
      <alignment horizontal="right" vertical="top" wrapText="1"/>
    </xf>
    <xf numFmtId="167" fontId="2" fillId="0" borderId="0" xfId="0" applyNumberFormat="1" applyFont="1" applyAlignment="1">
      <alignment horizontal="right" wrapText="1"/>
    </xf>
    <xf numFmtId="164" fontId="20" fillId="3" borderId="55" xfId="0" applyNumberFormat="1" applyFont="1" applyFill="1" applyBorder="1" applyAlignment="1">
      <alignment vertical="center"/>
    </xf>
    <xf numFmtId="164" fontId="16" fillId="0" borderId="13" xfId="0" applyNumberFormat="1" applyFont="1" applyBorder="1" applyAlignment="1">
      <alignment vertical="top"/>
    </xf>
    <xf numFmtId="164" fontId="16" fillId="0" borderId="36" xfId="0" applyNumberFormat="1" applyFont="1" applyBorder="1" applyAlignment="1">
      <alignment vertical="top"/>
    </xf>
    <xf numFmtId="164" fontId="16" fillId="0" borderId="40" xfId="0" applyNumberFormat="1" applyFont="1" applyBorder="1" applyAlignment="1">
      <alignment vertical="top"/>
    </xf>
    <xf numFmtId="0" fontId="7" fillId="0" borderId="11" xfId="0" applyFont="1" applyBorder="1" applyAlignment="1">
      <alignment horizontal="left" vertical="top" wrapText="1"/>
    </xf>
    <xf numFmtId="4" fontId="2" fillId="0" borderId="69" xfId="0" applyNumberFormat="1" applyFont="1" applyBorder="1"/>
    <xf numFmtId="0" fontId="2" fillId="0" borderId="0" xfId="0" applyFont="1"/>
    <xf numFmtId="0" fontId="2" fillId="0" borderId="0" xfId="0" applyFont="1"/>
    <xf numFmtId="0" fontId="2" fillId="0" borderId="0" xfId="0" applyFont="1"/>
    <xf numFmtId="14" fontId="38" fillId="0" borderId="0" xfId="0" applyNumberFormat="1" applyFont="1"/>
    <xf numFmtId="164" fontId="38" fillId="0" borderId="0" xfId="0" applyNumberFormat="1" applyFont="1"/>
    <xf numFmtId="0" fontId="2" fillId="0" borderId="0" xfId="0" applyFont="1"/>
    <xf numFmtId="0" fontId="16" fillId="0" borderId="0" xfId="0" applyFont="1" applyAlignment="1">
      <alignment horizontal="center" vertical="center"/>
    </xf>
    <xf numFmtId="171" fontId="16" fillId="0" borderId="13" xfId="0" applyNumberFormat="1" applyFont="1" applyBorder="1" applyAlignment="1">
      <alignment horizontal="center" vertical="top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vertical="top"/>
    </xf>
    <xf numFmtId="164" fontId="16" fillId="0" borderId="54" xfId="0" applyNumberFormat="1" applyFont="1" applyBorder="1" applyAlignment="1">
      <alignment vertical="top"/>
    </xf>
    <xf numFmtId="171" fontId="38" fillId="0" borderId="12" xfId="0" applyNumberFormat="1" applyFont="1" applyBorder="1" applyAlignment="1">
      <alignment horizontal="center" vertical="top"/>
    </xf>
    <xf numFmtId="164" fontId="4" fillId="0" borderId="35" xfId="0" applyNumberFormat="1" applyFont="1" applyBorder="1" applyAlignment="1">
      <alignment vertical="top"/>
    </xf>
    <xf numFmtId="0" fontId="2" fillId="0" borderId="70" xfId="0" applyFont="1" applyBorder="1" applyAlignment="1">
      <alignment vertical="top"/>
    </xf>
    <xf numFmtId="0" fontId="2" fillId="0" borderId="69" xfId="0" applyFont="1" applyBorder="1" applyAlignment="1">
      <alignment vertical="top"/>
    </xf>
    <xf numFmtId="0" fontId="2" fillId="0" borderId="69" xfId="0" applyFont="1" applyBorder="1" applyAlignment="1">
      <alignment wrapText="1"/>
    </xf>
    <xf numFmtId="4" fontId="2" fillId="0" borderId="69" xfId="0" applyNumberFormat="1" applyFont="1" applyBorder="1" applyAlignment="1">
      <alignment vertical="center"/>
    </xf>
    <xf numFmtId="0" fontId="16" fillId="0" borderId="64" xfId="0" applyFont="1" applyBorder="1" applyAlignment="1">
      <alignment horizontal="left" vertical="top"/>
    </xf>
    <xf numFmtId="0" fontId="2" fillId="0" borderId="73" xfId="0" applyFont="1" applyBorder="1" applyAlignment="1">
      <alignment vertical="top"/>
    </xf>
    <xf numFmtId="0" fontId="16" fillId="0" borderId="11" xfId="0" applyFont="1" applyBorder="1" applyAlignment="1">
      <alignment horizontal="left" vertical="top" wrapText="1"/>
    </xf>
    <xf numFmtId="0" fontId="7" fillId="0" borderId="27" xfId="0" applyFont="1" applyBorder="1" applyAlignment="1">
      <alignment horizontal="left" vertical="top"/>
    </xf>
    <xf numFmtId="10" fontId="1" fillId="0" borderId="4" xfId="0" applyNumberFormat="1" applyFont="1" applyBorder="1" applyAlignment="1">
      <alignment horizontal="left" vertical="center" wrapText="1"/>
    </xf>
    <xf numFmtId="0" fontId="16" fillId="0" borderId="5" xfId="0" applyFont="1" applyBorder="1"/>
    <xf numFmtId="0" fontId="16" fillId="0" borderId="6" xfId="0" applyFont="1" applyBorder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6" fillId="0" borderId="1" xfId="0" applyFont="1" applyBorder="1"/>
    <xf numFmtId="0" fontId="1" fillId="0" borderId="2" xfId="0" applyFont="1" applyBorder="1" applyAlignment="1">
      <alignment horizontal="center" vertical="top" wrapText="1"/>
    </xf>
    <xf numFmtId="0" fontId="16" fillId="0" borderId="7" xfId="0" applyFont="1" applyBorder="1"/>
    <xf numFmtId="0" fontId="16" fillId="0" borderId="9" xfId="0" applyFont="1" applyBorder="1"/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164" fontId="1" fillId="0" borderId="45" xfId="0" applyNumberFormat="1" applyFont="1" applyBorder="1" applyAlignment="1">
      <alignment horizontal="center" vertical="top"/>
    </xf>
    <xf numFmtId="164" fontId="1" fillId="0" borderId="46" xfId="0" applyNumberFormat="1" applyFont="1" applyBorder="1" applyAlignment="1">
      <alignment horizontal="center" vertical="top"/>
    </xf>
    <xf numFmtId="164" fontId="1" fillId="0" borderId="47" xfId="0" applyNumberFormat="1" applyFont="1" applyBorder="1" applyAlignment="1">
      <alignment horizontal="center" vertical="top"/>
    </xf>
    <xf numFmtId="164" fontId="1" fillId="23" borderId="36" xfId="0" applyNumberFormat="1" applyFont="1" applyFill="1" applyBorder="1" applyAlignment="1">
      <alignment horizontal="center" vertical="center" wrapText="1"/>
    </xf>
    <xf numFmtId="0" fontId="16" fillId="23" borderId="36" xfId="0" applyFont="1" applyFill="1" applyBorder="1"/>
    <xf numFmtId="164" fontId="1" fillId="0" borderId="57" xfId="0" applyNumberFormat="1" applyFont="1" applyBorder="1" applyAlignment="1">
      <alignment horizontal="center" vertical="center"/>
    </xf>
    <xf numFmtId="164" fontId="1" fillId="10" borderId="45" xfId="0" applyNumberFormat="1" applyFont="1" applyFill="1" applyBorder="1" applyAlignment="1">
      <alignment horizontal="center" vertical="top"/>
    </xf>
    <xf numFmtId="0" fontId="16" fillId="0" borderId="46" xfId="0" applyFont="1" applyBorder="1"/>
    <xf numFmtId="0" fontId="16" fillId="0" borderId="47" xfId="0" applyFont="1" applyBorder="1"/>
    <xf numFmtId="164" fontId="1" fillId="24" borderId="36" xfId="0" applyNumberFormat="1" applyFont="1" applyFill="1" applyBorder="1" applyAlignment="1">
      <alignment horizontal="center" vertical="top"/>
    </xf>
    <xf numFmtId="164" fontId="1" fillId="25" borderId="36" xfId="0" applyNumberFormat="1" applyFont="1" applyFill="1" applyBorder="1" applyAlignment="1">
      <alignment horizontal="center" vertical="top"/>
    </xf>
    <xf numFmtId="0" fontId="1" fillId="0" borderId="27" xfId="0" applyFont="1" applyBorder="1" applyAlignment="1">
      <alignment horizontal="center"/>
    </xf>
    <xf numFmtId="0" fontId="1" fillId="0" borderId="27" xfId="0" applyFont="1" applyBorder="1"/>
    <xf numFmtId="164" fontId="1" fillId="0" borderId="27" xfId="0" applyNumberFormat="1" applyFont="1" applyBorder="1" applyAlignment="1">
      <alignment horizontal="center" vertical="top"/>
    </xf>
    <xf numFmtId="0" fontId="46" fillId="0" borderId="59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 vertical="top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0" fontId="5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center" wrapText="1"/>
    </xf>
  </cellXfs>
  <cellStyles count="3">
    <cellStyle name="Comma" xfId="1" builtinId="3"/>
    <cellStyle name="Comma 2" xfId="2" xr:uid="{DF9B3737-AB35-4EC6-9388-1B4112B6DB77}"/>
    <cellStyle name="Normal" xfId="0" builtinId="0"/>
  </cellStyles>
  <dxfs count="723">
    <dxf>
      <font>
        <color rgb="FFFF0000"/>
      </font>
      <numFmt numFmtId="172" formatCode="#,##0.00_);[Red]\(#,##0.00\)"/>
      <fill>
        <patternFill patternType="none"/>
      </fill>
    </dxf>
    <dxf>
      <font>
        <color rgb="FFFF0000"/>
      </font>
      <numFmt numFmtId="172" formatCode="#,##0.00_);[Red]\(#,##0.00\)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172" formatCode="#,##0.00_);[Red]\(#,##0.00\)"/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172" formatCode="#,##0.00_);[Red]\(#,##0.00\)"/>
      <fill>
        <patternFill patternType="none"/>
      </fill>
    </dxf>
    <dxf>
      <font>
        <color rgb="FFFF0000"/>
      </font>
      <numFmt numFmtId="172" formatCode="#,##0.00_);[Red]\(#,##0.00\)"/>
      <fill>
        <patternFill patternType="none"/>
      </fill>
    </dxf>
    <dxf>
      <font>
        <color rgb="FFFF0000"/>
      </font>
      <numFmt numFmtId="172" formatCode="#,##0.00_);[Red]\(#,##0.00\)"/>
      <fill>
        <patternFill patternType="none"/>
      </fill>
    </dxf>
    <dxf>
      <font>
        <color rgb="FFFF0000"/>
      </font>
      <numFmt numFmtId="172" formatCode="#,##0.00_);[Red]\(#,##0.00\)"/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172" formatCode="#,##0.00_);[Red]\(#,##0.00\)"/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172" formatCode="#,##0.00_);[Red]\(#,##0.00\)"/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173" formatCode="#,##0.00_);[Red]\(#,##0.00\)\ "/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172" formatCode="#,##0.00_);[Red]\(#,##0.00\)"/>
      <fill>
        <patternFill patternType="none"/>
      </fill>
    </dxf>
    <dxf>
      <font>
        <color rgb="FFFF0000"/>
      </font>
      <numFmt numFmtId="172" formatCode="#,##0.00_);[Red]\(#,##0.00\)"/>
      <fill>
        <patternFill patternType="none"/>
      </fill>
    </dxf>
    <dxf>
      <font>
        <color rgb="FFFF0000"/>
      </font>
      <numFmt numFmtId="172" formatCode="#,##0.00_);[Red]\(#,##0.00\)"/>
      <fill>
        <patternFill patternType="none"/>
      </fill>
    </dxf>
    <dxf>
      <font>
        <color rgb="FFFF0000"/>
      </font>
      <numFmt numFmtId="172" formatCode="#,##0.00_);[Red]\(#,##0.00\)"/>
      <fill>
        <patternFill patternType="none"/>
      </fill>
    </dxf>
    <dxf>
      <font>
        <color rgb="FFFF0000"/>
      </font>
      <numFmt numFmtId="172" formatCode="#,##0.00_);[Red]\(#,##0.00\)"/>
      <fill>
        <patternFill patternType="none"/>
      </fill>
    </dxf>
    <dxf>
      <font>
        <color rgb="FFFF0000"/>
      </font>
      <numFmt numFmtId="172" formatCode="#,##0.00_);[Red]\(#,##0.00\)"/>
      <fill>
        <patternFill patternType="none"/>
      </fill>
    </dxf>
    <dxf>
      <font>
        <color rgb="FFFF0000"/>
      </font>
      <numFmt numFmtId="172" formatCode="#,##0.00_);[Red]\(#,##0.00\)"/>
      <fill>
        <patternFill patternType="none"/>
      </fill>
    </dxf>
    <dxf>
      <font>
        <color rgb="FFFF0000"/>
      </font>
      <numFmt numFmtId="172" formatCode="#,##0.00_);[Red]\(#,##0.00\)"/>
      <fill>
        <patternFill patternType="none"/>
      </fill>
    </dxf>
    <dxf>
      <font>
        <color rgb="FFFF0000"/>
      </font>
      <numFmt numFmtId="172" formatCode="#,##0.00_);[Red]\(#,##0.00\)"/>
      <fill>
        <patternFill patternType="none"/>
      </fill>
    </dxf>
    <dxf>
      <font>
        <color rgb="FFFF0000"/>
      </font>
      <numFmt numFmtId="172" formatCode="#,##0.00_);[Red]\(#,##0.00\)"/>
      <fill>
        <patternFill patternType="none"/>
      </fill>
    </dxf>
    <dxf>
      <font>
        <color rgb="FFFF0000"/>
      </font>
      <numFmt numFmtId="172" formatCode="#,##0.00_);[Red]\(#,##0.00\)"/>
      <fill>
        <patternFill patternType="none"/>
      </fill>
    </dxf>
    <dxf>
      <font>
        <color rgb="FFFF0000"/>
      </font>
      <numFmt numFmtId="172" formatCode="#,##0.00_);[Red]\(#,##0.00\)"/>
      <fill>
        <patternFill patternType="none"/>
      </fill>
    </dxf>
    <dxf>
      <font>
        <color rgb="FFFF0000"/>
      </font>
      <numFmt numFmtId="172" formatCode="#,##0.00_);[Red]\(#,##0.00\)"/>
      <fill>
        <patternFill patternType="none"/>
      </fill>
    </dxf>
    <dxf>
      <font>
        <color rgb="FFFF0000"/>
      </font>
      <numFmt numFmtId="172" formatCode="#,##0.00_);[Red]\(#,##0.00\)"/>
      <fill>
        <patternFill patternType="none"/>
      </fill>
    </dxf>
    <dxf>
      <font>
        <color rgb="FFFF0000"/>
      </font>
      <numFmt numFmtId="172" formatCode="#,##0.00_);[Red]\(#,##0.00\)"/>
      <fill>
        <patternFill patternType="none"/>
      </fill>
    </dxf>
    <dxf>
      <font>
        <color rgb="FFFF0000"/>
      </font>
      <numFmt numFmtId="172" formatCode="#,##0.00_);[Red]\(#,##0.00\)"/>
      <fill>
        <patternFill patternType="none"/>
      </fill>
    </dxf>
    <dxf>
      <font>
        <color rgb="FFFF0000"/>
      </font>
      <numFmt numFmtId="172" formatCode="#,##0.00_);[Red]\(#,##0.00\)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173" formatCode="#,##0.00_);[Red]\(#,##0.00\)\ 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172" formatCode="#,##0.00_);[Red]\(#,##0.00\)"/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173" formatCode="#,##0.00_);[Red]\(#,##0.00\)\ "/>
      <fill>
        <patternFill patternType="none"/>
      </fill>
    </dxf>
    <dxf>
      <font>
        <color rgb="FFFF0000"/>
      </font>
      <numFmt numFmtId="172" formatCode="#,##0.00_);[Red]\(#,##0.00\)"/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172" formatCode="#,##0.00_);[Red]\(#,##0.00\)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173" formatCode="#,##0.00_);[Red]\(#,##0.00\)\ 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173" formatCode="#,##0.00_);[Red]\(#,##0.00\)\ "/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173" formatCode="#,##0.00_);[Red]\(#,##0.00\)\ "/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173" formatCode="#,##0.00_);[Red]\(#,##0.00\)\ "/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173" formatCode="#,##0.00_);[Red]\(#,##0.00\)\ "/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8" formatCode="#,##0.00;[Red]\-#,##0.00"/>
      <fill>
        <patternFill patternType="none"/>
      </fill>
    </dxf>
    <dxf>
      <font>
        <color rgb="FFFF0000"/>
      </font>
      <numFmt numFmtId="173" formatCode="#,##0.00_);[Red]\(#,##0.00\)\ "/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173" formatCode="#,##0.00_);[Red]\(#,##0.00\)\ "/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173" formatCode="#,##0.00_);[Red]\(#,##0.00\)\ "/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173" formatCode="#,##0.00_);[Red]\(#,##0.00\)\ "/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173" formatCode="#,##0.00_);[Red]\(#,##0.00\)\ "/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numFmt numFmtId="172" formatCode="#,##0.00_);[Red]\(#,##0.00\)"/>
      <fill>
        <patternFill patternType="none"/>
      </fill>
    </dxf>
    <dxf>
      <font>
        <color rgb="FFFF0000"/>
      </font>
      <numFmt numFmtId="172" formatCode="#,##0.00_);[Red]\(#,##0.00\)"/>
      <fill>
        <patternFill patternType="none"/>
      </fill>
    </dxf>
    <dxf>
      <font>
        <color rgb="FFFF0000"/>
      </font>
      <numFmt numFmtId="172" formatCode="#,##0.00_);[Red]\(#,##0.00\)"/>
      <fill>
        <patternFill patternType="none"/>
      </fill>
    </dxf>
    <dxf>
      <font>
        <color rgb="FFFF0000"/>
      </font>
      <numFmt numFmtId="172" formatCode="#,##0.00_);[Red]\(#,##0.00\)"/>
      <fill>
        <patternFill patternType="none"/>
      </fill>
    </dxf>
    <dxf>
      <font>
        <color rgb="FFFF0000"/>
      </font>
      <numFmt numFmtId="172" formatCode="#,##0.00_);[Red]\(#,##0.00\)"/>
      <fill>
        <patternFill patternType="none"/>
      </fill>
    </dxf>
    <dxf>
      <font>
        <color rgb="FFFF0000"/>
      </font>
      <numFmt numFmtId="172" formatCode="#,##0.00_);[Red]\(#,##0.00\)"/>
      <fill>
        <patternFill patternType="none"/>
      </fill>
    </dxf>
    <dxf>
      <font>
        <color rgb="FFFF0000"/>
      </font>
      <numFmt numFmtId="172" formatCode="#,##0.00_);[Red]\(#,##0.00\)"/>
      <fill>
        <patternFill patternType="none"/>
      </fill>
    </dxf>
    <dxf>
      <font>
        <color rgb="FFFF0000"/>
      </font>
      <numFmt numFmtId="172" formatCode="#,##0.00_);[Red]\(#,##0.00\)"/>
      <fill>
        <patternFill patternType="none"/>
      </fill>
    </dxf>
    <dxf>
      <font>
        <color rgb="FFFF0000"/>
      </font>
      <numFmt numFmtId="172" formatCode="#,##0.00_);[Red]\(#,##0.00\)"/>
      <fill>
        <patternFill patternType="none"/>
      </fill>
    </dxf>
    <dxf>
      <font>
        <color rgb="FFFF0000"/>
      </font>
      <numFmt numFmtId="172" formatCode="#,##0.00_);[Red]\(#,##0.00\)"/>
      <fill>
        <patternFill patternType="none"/>
      </fill>
    </dxf>
    <dxf>
      <font>
        <color rgb="FFFF0000"/>
      </font>
      <numFmt numFmtId="172" formatCode="#,##0.00_);[Red]\(#,##0.00\)"/>
      <fill>
        <patternFill patternType="none"/>
      </fill>
    </dxf>
    <dxf>
      <font>
        <color rgb="FFFF0000"/>
      </font>
      <numFmt numFmtId="172" formatCode="#,##0.00_);[Red]\(#,##0.00\)"/>
      <fill>
        <patternFill patternType="none"/>
      </fill>
    </dxf>
    <dxf>
      <font>
        <color rgb="FFFF0000"/>
      </font>
      <numFmt numFmtId="172" formatCode="#,##0.00_);[Red]\(#,##0.00\)"/>
      <fill>
        <patternFill patternType="none"/>
      </fill>
    </dxf>
    <dxf>
      <font>
        <color rgb="FFFF0000"/>
      </font>
      <numFmt numFmtId="172" formatCode="#,##0.00_);[Red]\(#,##0.00\)"/>
      <fill>
        <patternFill patternType="none"/>
      </fill>
    </dxf>
  </dxfs>
  <tableStyles count="0" defaultTableStyle="TableStyleMedium2" defaultPivotStyle="PivotStyleLight16"/>
  <colors>
    <mruColors>
      <color rgb="FF1F497D"/>
      <color rgb="FF00CC99"/>
      <color rgb="FFFF99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sk_Charukit/&#3619;&#3634;&#3618;&#3591;&#3634;&#3609;&#3626;&#3606;&#3634;&#3609;&#3632;&#3585;&#3634;&#3619;&#3648;&#3610;&#3636;&#3585;&#3592;&#3656;&#3634;&#3618;&#3591;&#3610;&#3611;&#3619;&#3632;&#3617;&#3634;&#3603;%20NFMA46/&#3619;&#3634;&#3618;&#3591;&#3634;&#3609;&#3626;&#3606;&#3634;&#3609;&#3632;&#3585;&#3634;&#3619;&#3648;&#3610;&#3636;&#3585;&#3592;&#3656;&#3634;&#3618;&#3611;&#3619;&#3632;&#3592;&#3635;&#3648;&#3604;&#3639;&#3629;&#3609;/GF%202568_671130%20v6801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เบิก พ.ย. 67"/>
      <sheetName val="ใบกัน+GF พ.ย. 67"/>
      <sheetName val="รวมใบกัน พ.ย. 67"/>
      <sheetName val="ใบกัน 100"/>
      <sheetName val="ใบกัน 260"/>
      <sheetName val="ใบกัน 300-400(ภาครัฐ)"/>
      <sheetName val="ใบกัน 300"/>
      <sheetName val="ใบกัน 400"/>
      <sheetName val="ใบกัน 450"/>
      <sheetName val="ใบกัน 500"/>
      <sheetName val="ใบกัน 600"/>
      <sheetName val="ใบกัน 900-ดำเนินงาน"/>
      <sheetName val="ใบกัน 900-ลงทุน"/>
      <sheetName val="GF พ.ย.67"/>
      <sheetName val="GF 100"/>
      <sheetName val="GF 260"/>
      <sheetName val="GF 300-400(ภาครัฐ)"/>
      <sheetName val="GF 300"/>
      <sheetName val="GF 400"/>
      <sheetName val="GF 450"/>
      <sheetName val="GF 500"/>
      <sheetName val="GF 600"/>
      <sheetName val="GF 900 - งบกลาง"/>
      <sheetName val="GF 900-ดำเนินงาน"/>
      <sheetName val="GF 900-ลงทุน"/>
      <sheetName val="คชจ.เป็น JOB"/>
    </sheetNames>
    <sheetDataSet>
      <sheetData sheetId="0" refreshError="1"/>
      <sheetData sheetId="1" refreshError="1"/>
      <sheetData sheetId="2">
        <row r="121">
          <cell r="C121">
            <v>0</v>
          </cell>
        </row>
        <row r="122">
          <cell r="C122">
            <v>474800</v>
          </cell>
        </row>
        <row r="123">
          <cell r="C123">
            <v>335000</v>
          </cell>
        </row>
        <row r="124">
          <cell r="C124">
            <v>25000</v>
          </cell>
        </row>
        <row r="125">
          <cell r="C125">
            <v>124000</v>
          </cell>
        </row>
        <row r="126">
          <cell r="C126">
            <v>577300</v>
          </cell>
        </row>
        <row r="127">
          <cell r="C127">
            <v>30801000</v>
          </cell>
        </row>
        <row r="129">
          <cell r="B129">
            <v>69000</v>
          </cell>
        </row>
        <row r="130">
          <cell r="B130">
            <v>4342000</v>
          </cell>
        </row>
        <row r="131">
          <cell r="B131">
            <v>16500000</v>
          </cell>
        </row>
        <row r="132">
          <cell r="B132">
            <v>25270000</v>
          </cell>
        </row>
        <row r="133">
          <cell r="B133">
            <v>81390000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66"/>
  </sheetPr>
  <dimension ref="A1:J61"/>
  <sheetViews>
    <sheetView tabSelected="1" zoomScale="130" zoomScaleNormal="130" workbookViewId="0">
      <pane xSplit="1" ySplit="7" topLeftCell="B8" activePane="bottomRight" state="frozen"/>
      <selection sqref="A1:XFD1048576"/>
      <selection pane="topRight" sqref="A1:XFD1048576"/>
      <selection pane="bottomLeft" sqref="A1:XFD1048576"/>
      <selection pane="bottomRight" activeCell="D20" sqref="D20"/>
    </sheetView>
  </sheetViews>
  <sheetFormatPr defaultColWidth="14.42578125" defaultRowHeight="15" customHeight="1" x14ac:dyDescent="0.3"/>
  <cols>
    <col min="1" max="1" width="25.42578125" style="137" customWidth="1"/>
    <col min="2" max="2" width="16" style="137" customWidth="1"/>
    <col min="3" max="3" width="16.28515625" style="137" customWidth="1"/>
    <col min="4" max="6" width="16" style="137" customWidth="1"/>
    <col min="7" max="8" width="14" style="137" customWidth="1"/>
    <col min="9" max="9" width="16" style="137" customWidth="1"/>
    <col min="10" max="10" width="15.85546875" style="137" customWidth="1"/>
    <col min="11" max="11" width="9" style="137" customWidth="1"/>
    <col min="12" max="12" width="19.42578125" style="137" customWidth="1"/>
    <col min="13" max="13" width="14.7109375" style="137" customWidth="1"/>
    <col min="14" max="14" width="19.42578125" style="137" customWidth="1"/>
    <col min="15" max="15" width="14.7109375" style="137" customWidth="1"/>
    <col min="16" max="26" width="9" style="137" customWidth="1"/>
    <col min="27" max="16384" width="14.42578125" style="137"/>
  </cols>
  <sheetData>
    <row r="1" spans="1:10" ht="21" customHeight="1" x14ac:dyDescent="0.3">
      <c r="A1" s="1197" t="s">
        <v>1197</v>
      </c>
      <c r="B1" s="1198"/>
      <c r="C1" s="1198"/>
      <c r="D1" s="1198"/>
      <c r="E1" s="1198"/>
      <c r="F1" s="1198"/>
      <c r="G1" s="1198"/>
      <c r="H1" s="1198"/>
      <c r="I1" s="1198"/>
      <c r="J1" s="1198"/>
    </row>
    <row r="2" spans="1:10" ht="21" customHeight="1" x14ac:dyDescent="0.3">
      <c r="A2" s="1197" t="s">
        <v>2047</v>
      </c>
      <c r="B2" s="1198"/>
      <c r="C2" s="1198"/>
      <c r="D2" s="1198"/>
      <c r="E2" s="1198"/>
      <c r="F2" s="1198"/>
      <c r="G2" s="1198"/>
      <c r="H2" s="1198"/>
      <c r="I2" s="1198"/>
      <c r="J2" s="1198"/>
    </row>
    <row r="3" spans="1:10" ht="21" customHeight="1" x14ac:dyDescent="0.3">
      <c r="A3" s="158"/>
      <c r="B3" s="158"/>
      <c r="C3" s="158"/>
      <c r="D3" s="158"/>
      <c r="E3" s="158"/>
      <c r="F3" s="159"/>
      <c r="G3" s="159"/>
      <c r="H3" s="159"/>
      <c r="I3" s="159"/>
      <c r="J3" s="160" t="s">
        <v>0</v>
      </c>
    </row>
    <row r="4" spans="1:10" ht="21" customHeight="1" x14ac:dyDescent="0.3">
      <c r="A4" s="161" t="s">
        <v>1</v>
      </c>
      <c r="B4" s="161" t="s">
        <v>2</v>
      </c>
      <c r="C4" s="161" t="s">
        <v>3</v>
      </c>
      <c r="D4" s="162" t="s">
        <v>4</v>
      </c>
      <c r="E4" s="162" t="s">
        <v>1755</v>
      </c>
      <c r="F4" s="1199" t="s">
        <v>5</v>
      </c>
      <c r="G4" s="1195"/>
      <c r="H4" s="1196"/>
      <c r="I4" s="1200" t="s">
        <v>6</v>
      </c>
      <c r="J4" s="1196"/>
    </row>
    <row r="5" spans="1:10" ht="21" customHeight="1" x14ac:dyDescent="0.3">
      <c r="A5" s="163"/>
      <c r="B5" s="163" t="s">
        <v>7</v>
      </c>
      <c r="C5" s="386"/>
      <c r="D5" s="164"/>
      <c r="E5" s="164" t="s">
        <v>9</v>
      </c>
      <c r="F5" s="165" t="s">
        <v>10</v>
      </c>
      <c r="G5" s="143" t="s">
        <v>11</v>
      </c>
      <c r="H5" s="143" t="s">
        <v>11</v>
      </c>
      <c r="I5" s="166" t="s">
        <v>12</v>
      </c>
      <c r="J5" s="161" t="s">
        <v>13</v>
      </c>
    </row>
    <row r="6" spans="1:10" ht="18.75" customHeight="1" x14ac:dyDescent="0.3">
      <c r="A6" s="167"/>
      <c r="B6" s="168"/>
      <c r="C6" s="168"/>
      <c r="D6" s="167"/>
      <c r="E6" s="167"/>
      <c r="F6" s="169" t="s">
        <v>1833</v>
      </c>
      <c r="G6" s="167" t="s">
        <v>14</v>
      </c>
      <c r="H6" s="167" t="s">
        <v>15</v>
      </c>
      <c r="I6" s="170" t="s">
        <v>16</v>
      </c>
      <c r="J6" s="163" t="s">
        <v>15</v>
      </c>
    </row>
    <row r="7" spans="1:10" ht="21" customHeight="1" x14ac:dyDescent="0.3">
      <c r="A7" s="172"/>
      <c r="B7" s="173" t="s">
        <v>17</v>
      </c>
      <c r="C7" s="174" t="s">
        <v>18</v>
      </c>
      <c r="D7" s="174" t="s">
        <v>19</v>
      </c>
      <c r="E7" s="174" t="s">
        <v>20</v>
      </c>
      <c r="F7" s="174" t="s">
        <v>21</v>
      </c>
      <c r="G7" s="175" t="s">
        <v>22</v>
      </c>
      <c r="H7" s="175" t="s">
        <v>23</v>
      </c>
      <c r="I7" s="176" t="s">
        <v>24</v>
      </c>
      <c r="J7" s="176" t="s">
        <v>25</v>
      </c>
    </row>
    <row r="8" spans="1:10" ht="21" customHeight="1" x14ac:dyDescent="0.3">
      <c r="A8" s="177" t="s">
        <v>26</v>
      </c>
      <c r="B8" s="178">
        <f>SUM(B9+B10)</f>
        <v>163832100</v>
      </c>
      <c r="C8" s="178">
        <f>SUM(C9+C10)</f>
        <v>81234300</v>
      </c>
      <c r="D8" s="178">
        <f>SUM(D9+D10)</f>
        <v>0</v>
      </c>
      <c r="E8" s="178">
        <f>SUM(E9+E10)</f>
        <v>0</v>
      </c>
      <c r="F8" s="178">
        <f>SUM(F9+F10)</f>
        <v>60465341.379999995</v>
      </c>
      <c r="G8" s="178">
        <f t="shared" ref="G8:G15" si="0">SUM(F8/B8*100)</f>
        <v>36.906895156687852</v>
      </c>
      <c r="H8" s="178">
        <f t="shared" ref="H8:H15" si="1">SUM(F8/C8*100)</f>
        <v>74.433264495416338</v>
      </c>
      <c r="I8" s="178">
        <f>SUM(I9+I10)</f>
        <v>20768958.620000005</v>
      </c>
      <c r="J8" s="178">
        <f t="shared" ref="J8:J15" si="2">SUM(I8/C8*100)</f>
        <v>25.566735504583662</v>
      </c>
    </row>
    <row r="9" spans="1:10" ht="21" customHeight="1" x14ac:dyDescent="0.3">
      <c r="A9" s="179" t="s">
        <v>27</v>
      </c>
      <c r="B9" s="180">
        <f>SUM(B26+B47)</f>
        <v>155419800</v>
      </c>
      <c r="C9" s="180">
        <f>SUM(C26+C47)</f>
        <v>76487000</v>
      </c>
      <c r="D9" s="180">
        <f>SUM(D26+D47)</f>
        <v>0</v>
      </c>
      <c r="E9" s="180">
        <f>SUM(E26+E47)</f>
        <v>0</v>
      </c>
      <c r="F9" s="180">
        <f>+F26+F47</f>
        <v>55950527.409999996</v>
      </c>
      <c r="G9" s="181">
        <f t="shared" si="0"/>
        <v>35.999613569184874</v>
      </c>
      <c r="H9" s="181">
        <f t="shared" si="1"/>
        <v>73.150375109495727</v>
      </c>
      <c r="I9" s="182">
        <f>SUM(C9-D9-E9-F9)</f>
        <v>20536472.590000004</v>
      </c>
      <c r="J9" s="181">
        <f t="shared" si="2"/>
        <v>26.849624890504277</v>
      </c>
    </row>
    <row r="10" spans="1:10" ht="21" customHeight="1" x14ac:dyDescent="0.3">
      <c r="A10" s="179" t="s">
        <v>28</v>
      </c>
      <c r="B10" s="180">
        <f>SUM(B29+B50)</f>
        <v>8412300</v>
      </c>
      <c r="C10" s="180">
        <f>SUM(C29+C50)</f>
        <v>4747300</v>
      </c>
      <c r="D10" s="180">
        <f>SUM(D29+D50)</f>
        <v>0</v>
      </c>
      <c r="E10" s="180">
        <f>SUM(E29+E50)</f>
        <v>0</v>
      </c>
      <c r="F10" s="180">
        <f>SUM(F29+F50)</f>
        <v>4514813.97</v>
      </c>
      <c r="G10" s="181">
        <f t="shared" si="0"/>
        <v>53.669198316750467</v>
      </c>
      <c r="H10" s="181">
        <f t="shared" si="1"/>
        <v>95.102773576559301</v>
      </c>
      <c r="I10" s="182">
        <f>SUM(C10-D10-E10-F10)</f>
        <v>232486.03000000026</v>
      </c>
      <c r="J10" s="181">
        <f t="shared" si="2"/>
        <v>4.8972264234406984</v>
      </c>
    </row>
    <row r="11" spans="1:10" ht="21" customHeight="1" x14ac:dyDescent="0.3">
      <c r="A11" s="177" t="s">
        <v>29</v>
      </c>
      <c r="B11" s="183">
        <f>SUM(B12+B13+B14+B15)</f>
        <v>318168600</v>
      </c>
      <c r="C11" s="183">
        <f>SUM(C12+C13+C14+C15)</f>
        <v>291408400</v>
      </c>
      <c r="D11" s="183">
        <f>SUM(D12+D13+D14+D15)</f>
        <v>0</v>
      </c>
      <c r="E11" s="183">
        <f>SUM(E12+E13+E14+E15)</f>
        <v>8432320.25</v>
      </c>
      <c r="F11" s="183">
        <f>SUM(F12+F13+F14+F15)</f>
        <v>137156959.03999999</v>
      </c>
      <c r="G11" s="178">
        <f t="shared" si="0"/>
        <v>43.108263681582656</v>
      </c>
      <c r="H11" s="178">
        <f t="shared" si="1"/>
        <v>47.066920184867698</v>
      </c>
      <c r="I11" s="183">
        <f>SUM(I12+I13+I14+I15)</f>
        <v>145819120.71000001</v>
      </c>
      <c r="J11" s="178">
        <f t="shared" si="2"/>
        <v>50.039436306571815</v>
      </c>
    </row>
    <row r="12" spans="1:10" ht="21" customHeight="1" x14ac:dyDescent="0.3">
      <c r="A12" s="179" t="s">
        <v>28</v>
      </c>
      <c r="B12" s="182">
        <f>SUM(B32+B53)</f>
        <v>43096000</v>
      </c>
      <c r="C12" s="180">
        <f>SUM(C32+C53)</f>
        <v>32975500</v>
      </c>
      <c r="D12" s="182">
        <f>+D32+D53</f>
        <v>0</v>
      </c>
      <c r="E12" s="182">
        <f>SUM(E32+E53)</f>
        <v>8228080.25</v>
      </c>
      <c r="F12" s="182">
        <f>SUM(F32+F53)</f>
        <v>8542043.8200000003</v>
      </c>
      <c r="G12" s="181">
        <f t="shared" si="0"/>
        <v>19.820966725450159</v>
      </c>
      <c r="H12" s="181">
        <f t="shared" si="1"/>
        <v>25.904213188579401</v>
      </c>
      <c r="I12" s="182">
        <f>SUM(C12-D12-E12-F12)</f>
        <v>16205375.93</v>
      </c>
      <c r="J12" s="181">
        <f t="shared" si="2"/>
        <v>49.14368525117132</v>
      </c>
    </row>
    <row r="13" spans="1:10" ht="21" customHeight="1" x14ac:dyDescent="0.3">
      <c r="A13" s="179" t="s">
        <v>30</v>
      </c>
      <c r="B13" s="182">
        <f>SUM(B35+B56)</f>
        <v>98524800</v>
      </c>
      <c r="C13" s="180">
        <f>SUM(C35+C56)</f>
        <v>98524800</v>
      </c>
      <c r="D13" s="182">
        <f>+D35+D56</f>
        <v>0</v>
      </c>
      <c r="E13" s="182">
        <f>SUM(E35+E56)</f>
        <v>0</v>
      </c>
      <c r="F13" s="182">
        <f>SUM(F35+F56)</f>
        <v>0</v>
      </c>
      <c r="G13" s="181">
        <f t="shared" si="0"/>
        <v>0</v>
      </c>
      <c r="H13" s="181">
        <f t="shared" si="1"/>
        <v>0</v>
      </c>
      <c r="I13" s="182">
        <f>SUM(C13-D13-E13-F13)</f>
        <v>98524800</v>
      </c>
      <c r="J13" s="181">
        <f t="shared" si="2"/>
        <v>100</v>
      </c>
    </row>
    <row r="14" spans="1:10" ht="21" customHeight="1" x14ac:dyDescent="0.3">
      <c r="A14" s="179" t="s">
        <v>31</v>
      </c>
      <c r="B14" s="182">
        <f t="shared" ref="B14:F15" si="3">SUM(B38)</f>
        <v>48976800</v>
      </c>
      <c r="C14" s="182">
        <f t="shared" si="3"/>
        <v>32337100</v>
      </c>
      <c r="D14" s="182">
        <f t="shared" si="3"/>
        <v>0</v>
      </c>
      <c r="E14" s="182">
        <f t="shared" si="3"/>
        <v>204240</v>
      </c>
      <c r="F14" s="182">
        <f t="shared" si="3"/>
        <v>1077257.2199999997</v>
      </c>
      <c r="G14" s="181">
        <f t="shared" si="0"/>
        <v>2.1995255304552352</v>
      </c>
      <c r="H14" s="181">
        <f t="shared" si="1"/>
        <v>3.3313352774367511</v>
      </c>
      <c r="I14" s="182">
        <f>SUM(C14-D14-E14-F14)</f>
        <v>31055602.780000001</v>
      </c>
      <c r="J14" s="181">
        <f t="shared" si="2"/>
        <v>96.037068197210019</v>
      </c>
    </row>
    <row r="15" spans="1:10" ht="21" customHeight="1" x14ac:dyDescent="0.3">
      <c r="A15" s="179" t="s">
        <v>32</v>
      </c>
      <c r="B15" s="182">
        <f t="shared" si="3"/>
        <v>127571000</v>
      </c>
      <c r="C15" s="182">
        <f t="shared" si="3"/>
        <v>127571000</v>
      </c>
      <c r="D15" s="182">
        <f t="shared" si="3"/>
        <v>0</v>
      </c>
      <c r="E15" s="182">
        <f t="shared" si="3"/>
        <v>0</v>
      </c>
      <c r="F15" s="182">
        <f t="shared" si="3"/>
        <v>127537658</v>
      </c>
      <c r="G15" s="181">
        <f t="shared" si="0"/>
        <v>99.973863965948368</v>
      </c>
      <c r="H15" s="181">
        <f t="shared" si="1"/>
        <v>99.973863965948368</v>
      </c>
      <c r="I15" s="182">
        <f>SUM(C15-D15-E15-F15)</f>
        <v>33342</v>
      </c>
      <c r="J15" s="181">
        <f t="shared" si="2"/>
        <v>2.6136034051626154E-2</v>
      </c>
    </row>
    <row r="16" spans="1:10" ht="21" customHeight="1" x14ac:dyDescent="0.3">
      <c r="A16" s="185" t="s">
        <v>33</v>
      </c>
      <c r="B16" s="186">
        <f>SUM(B8+B11)</f>
        <v>482000700</v>
      </c>
      <c r="C16" s="186">
        <f>SUM(C8+C11)</f>
        <v>372642700</v>
      </c>
      <c r="D16" s="186">
        <f>SUM(D8+D11)</f>
        <v>0</v>
      </c>
      <c r="E16" s="186">
        <f>SUM(E8+E11)</f>
        <v>8432320.25</v>
      </c>
      <c r="F16" s="186">
        <f>SUM(F8+F11)</f>
        <v>197622300.41999999</v>
      </c>
      <c r="G16" s="187">
        <f>SUM(F16/B16)</f>
        <v>0.41000417721385052</v>
      </c>
      <c r="H16" s="187">
        <f>SUM(F16/C16)</f>
        <v>0.53032650423582695</v>
      </c>
      <c r="I16" s="188">
        <f>SUM(I8+I11)</f>
        <v>166588079.33000001</v>
      </c>
      <c r="J16" s="187">
        <f>SUM(I16/C16)</f>
        <v>0.44704506308589975</v>
      </c>
    </row>
    <row r="17" spans="1:10" ht="21" customHeight="1" x14ac:dyDescent="0.3">
      <c r="A17" s="1201" t="s">
        <v>34</v>
      </c>
      <c r="B17" s="1196"/>
      <c r="C17" s="189">
        <f>SUM(C16/B16)</f>
        <v>0.77311651207145549</v>
      </c>
      <c r="D17" s="190">
        <f>SUM(D16/B16)</f>
        <v>0</v>
      </c>
      <c r="E17" s="190">
        <f>SUM(E16/B16)</f>
        <v>1.749441494587041E-2</v>
      </c>
      <c r="F17" s="191"/>
      <c r="G17" s="192"/>
      <c r="H17" s="193"/>
      <c r="I17" s="194"/>
      <c r="J17" s="193"/>
    </row>
    <row r="18" spans="1:10" ht="21" customHeight="1" x14ac:dyDescent="0.3">
      <c r="A18" s="1201" t="s">
        <v>35</v>
      </c>
      <c r="B18" s="1196"/>
      <c r="C18" s="196">
        <f>SUM(C16/C16)</f>
        <v>1</v>
      </c>
      <c r="D18" s="197">
        <f>SUM(D16/C16)</f>
        <v>0</v>
      </c>
      <c r="E18" s="197">
        <f>SUM(E16/C16)</f>
        <v>2.2628432678273316E-2</v>
      </c>
      <c r="F18" s="198"/>
      <c r="G18" s="199"/>
      <c r="H18" s="199"/>
      <c r="I18" s="198"/>
      <c r="J18" s="199"/>
    </row>
    <row r="19" spans="1:10" ht="21" customHeight="1" x14ac:dyDescent="0.3">
      <c r="A19" s="699"/>
      <c r="B19" s="201"/>
      <c r="C19" s="202"/>
      <c r="D19" s="203"/>
      <c r="E19" s="203"/>
      <c r="F19" s="203"/>
      <c r="G19" s="1194" t="s">
        <v>36</v>
      </c>
      <c r="H19" s="1195"/>
      <c r="I19" s="1196"/>
      <c r="J19" s="204">
        <f>SUM(F16+E16+D16)</f>
        <v>206054620.66999999</v>
      </c>
    </row>
    <row r="20" spans="1:10" ht="21" customHeight="1" x14ac:dyDescent="0.3">
      <c r="A20" s="699"/>
      <c r="B20" s="201"/>
      <c r="C20" s="202"/>
      <c r="D20" s="203"/>
      <c r="E20" s="203"/>
      <c r="F20" s="205"/>
      <c r="G20" s="1194" t="s">
        <v>38</v>
      </c>
      <c r="H20" s="1195"/>
      <c r="I20" s="1196"/>
      <c r="J20" s="206">
        <f>SUM(J19/B16)</f>
        <v>0.42749859215972091</v>
      </c>
    </row>
    <row r="21" spans="1:10" ht="21" customHeight="1" x14ac:dyDescent="0.3">
      <c r="A21" s="200"/>
      <c r="B21" s="201"/>
      <c r="C21" s="202"/>
      <c r="D21" s="203"/>
      <c r="E21" s="203"/>
      <c r="F21" s="205"/>
      <c r="G21" s="1194" t="s">
        <v>39</v>
      </c>
      <c r="H21" s="1195"/>
      <c r="I21" s="1196"/>
      <c r="J21" s="206">
        <f>SUM(J19/C16)</f>
        <v>0.55295493691410025</v>
      </c>
    </row>
    <row r="22" spans="1:10" ht="21" customHeight="1" x14ac:dyDescent="0.3">
      <c r="A22" s="200" t="s">
        <v>37</v>
      </c>
      <c r="B22" s="694"/>
      <c r="C22" s="695"/>
      <c r="D22" s="696"/>
      <c r="E22" s="696"/>
      <c r="F22" s="697"/>
      <c r="H22" s="693"/>
      <c r="I22" s="693"/>
      <c r="J22" s="698"/>
    </row>
    <row r="23" spans="1:10" ht="21" customHeight="1" x14ac:dyDescent="0.3">
      <c r="A23" s="200" t="s">
        <v>2048</v>
      </c>
      <c r="B23" s="694"/>
      <c r="C23" s="695"/>
      <c r="D23" s="696"/>
      <c r="E23" s="696"/>
      <c r="F23" s="697"/>
      <c r="G23" s="696"/>
      <c r="H23" s="693"/>
      <c r="I23" s="693"/>
      <c r="J23" s="698"/>
    </row>
    <row r="24" spans="1:10" ht="21" customHeight="1" x14ac:dyDescent="0.3">
      <c r="A24" s="6" t="s">
        <v>40</v>
      </c>
      <c r="B24" s="207"/>
      <c r="C24" s="208"/>
      <c r="D24" s="207"/>
      <c r="E24" s="207"/>
      <c r="F24" s="207"/>
      <c r="G24" s="207"/>
      <c r="H24" s="207"/>
      <c r="I24" s="207"/>
      <c r="J24" s="207"/>
    </row>
    <row r="25" spans="1:10" ht="21" customHeight="1" x14ac:dyDescent="0.3">
      <c r="A25" s="6" t="s">
        <v>41</v>
      </c>
      <c r="B25" s="207"/>
      <c r="C25" s="208"/>
      <c r="D25" s="207"/>
      <c r="E25" s="207"/>
      <c r="F25" s="207"/>
      <c r="G25" s="207"/>
      <c r="H25" s="207"/>
      <c r="I25" s="209"/>
      <c r="J25" s="209"/>
    </row>
    <row r="26" spans="1:10" ht="21" customHeight="1" x14ac:dyDescent="0.3">
      <c r="A26" s="210" t="s">
        <v>27</v>
      </c>
      <c r="B26" s="211">
        <f>SUM(B27+B28)</f>
        <v>144834840</v>
      </c>
      <c r="C26" s="211">
        <f>SUM(C27+C28)</f>
        <v>67613920</v>
      </c>
      <c r="D26" s="211">
        <f>SUM(D27+D28)</f>
        <v>0</v>
      </c>
      <c r="E26" s="211">
        <f>SUM(E27+E28)</f>
        <v>0</v>
      </c>
      <c r="F26" s="211">
        <f>SUM(F27+F28)</f>
        <v>47873463.449999996</v>
      </c>
      <c r="G26" s="211">
        <f t="shared" ref="G26:G34" si="4">SUM(F26/B26*100)</f>
        <v>33.053831143114458</v>
      </c>
      <c r="H26" s="211">
        <f t="shared" ref="H26:H34" si="5">SUM(F26/C26*100)</f>
        <v>70.804153124090419</v>
      </c>
      <c r="I26" s="211">
        <f>SUM(I27:I28)</f>
        <v>19740456.550000004</v>
      </c>
      <c r="J26" s="211">
        <f t="shared" ref="J26:J34" si="6">SUM(I26/C26*100)</f>
        <v>29.195846875909581</v>
      </c>
    </row>
    <row r="27" spans="1:10" ht="21" customHeight="1" x14ac:dyDescent="0.3">
      <c r="A27" s="212" t="s">
        <v>42</v>
      </c>
      <c r="B27" s="213">
        <f>SUM('ใบกัน+GF ม.ค. 68'!B29)</f>
        <v>138007340</v>
      </c>
      <c r="C27" s="213">
        <f>SUM('ใบกัน+GF ม.ค. 68'!C29)</f>
        <v>64200420</v>
      </c>
      <c r="D27" s="213">
        <v>0</v>
      </c>
      <c r="E27" s="213">
        <v>0</v>
      </c>
      <c r="F27" s="213">
        <f>SUM('ใบกัน+GF ม.ค. 68'!D29)</f>
        <v>45641442.809999995</v>
      </c>
      <c r="G27" s="214">
        <f t="shared" si="4"/>
        <v>33.071750248936034</v>
      </c>
      <c r="H27" s="214">
        <f t="shared" si="5"/>
        <v>71.092124958061007</v>
      </c>
      <c r="I27" s="213">
        <f>SUM(C27-D27-E27-F27)</f>
        <v>18558977.190000005</v>
      </c>
      <c r="J27" s="214">
        <f t="shared" si="6"/>
        <v>28.907875041938986</v>
      </c>
    </row>
    <row r="28" spans="1:10" ht="21" customHeight="1" x14ac:dyDescent="0.3">
      <c r="A28" s="212" t="s">
        <v>43</v>
      </c>
      <c r="B28" s="213">
        <f>SUM('ใบกัน+GF ม.ค. 68'!B30)</f>
        <v>6827500</v>
      </c>
      <c r="C28" s="213">
        <f>SUM('ใบกัน+GF ม.ค. 68'!C30)</f>
        <v>3413500</v>
      </c>
      <c r="D28" s="213">
        <v>0</v>
      </c>
      <c r="E28" s="213">
        <v>0</v>
      </c>
      <c r="F28" s="213">
        <f>SUM('ใบกัน+GF ม.ค. 68'!D30)</f>
        <v>2232020.64</v>
      </c>
      <c r="G28" s="214">
        <f t="shared" si="4"/>
        <v>32.691624166971806</v>
      </c>
      <c r="H28" s="214">
        <f t="shared" si="5"/>
        <v>65.388036912260148</v>
      </c>
      <c r="I28" s="213">
        <f>SUM(C28-D28-E28-F28)</f>
        <v>1181479.3599999999</v>
      </c>
      <c r="J28" s="214">
        <f t="shared" si="6"/>
        <v>34.611963087739852</v>
      </c>
    </row>
    <row r="29" spans="1:10" ht="21" customHeight="1" x14ac:dyDescent="0.3">
      <c r="A29" s="215" t="s">
        <v>28</v>
      </c>
      <c r="B29" s="211">
        <f>SUM(B30)</f>
        <v>295600</v>
      </c>
      <c r="C29" s="211">
        <f>SUM(C30)</f>
        <v>147800</v>
      </c>
      <c r="D29" s="211">
        <f>SUM(D30)</f>
        <v>0</v>
      </c>
      <c r="E29" s="211">
        <f>SUM(E30)</f>
        <v>0</v>
      </c>
      <c r="F29" s="211">
        <f>SUM(F30)</f>
        <v>103165.56</v>
      </c>
      <c r="G29" s="211">
        <f t="shared" si="4"/>
        <v>34.900392422192148</v>
      </c>
      <c r="H29" s="211">
        <f t="shared" si="5"/>
        <v>69.800784844384296</v>
      </c>
      <c r="I29" s="211">
        <f>SUM(I30)</f>
        <v>44634.44</v>
      </c>
      <c r="J29" s="211">
        <f t="shared" si="6"/>
        <v>30.1992151556157</v>
      </c>
    </row>
    <row r="30" spans="1:10" ht="21" customHeight="1" x14ac:dyDescent="0.3">
      <c r="A30" s="179" t="s">
        <v>44</v>
      </c>
      <c r="B30" s="213">
        <f>SUM('ใบกัน+GF ม.ค. 68'!B32)</f>
        <v>295600</v>
      </c>
      <c r="C30" s="213">
        <f>SUM('ใบกัน+GF ม.ค. 68'!C32)</f>
        <v>147800</v>
      </c>
      <c r="D30" s="213">
        <v>0</v>
      </c>
      <c r="E30" s="213">
        <v>0</v>
      </c>
      <c r="F30" s="213">
        <f>SUM('ใบกัน+GF ม.ค. 68'!D32)</f>
        <v>103165.56</v>
      </c>
      <c r="G30" s="214">
        <f t="shared" si="4"/>
        <v>34.900392422192148</v>
      </c>
      <c r="H30" s="214">
        <f t="shared" si="5"/>
        <v>69.800784844384296</v>
      </c>
      <c r="I30" s="213">
        <f>SUM(C30-D30-E30-F30)</f>
        <v>44634.44</v>
      </c>
      <c r="J30" s="214">
        <f t="shared" si="6"/>
        <v>30.1992151556157</v>
      </c>
    </row>
    <row r="31" spans="1:10" ht="21" customHeight="1" x14ac:dyDescent="0.3">
      <c r="A31" s="215" t="s">
        <v>29</v>
      </c>
      <c r="B31" s="211">
        <f>SUM(B32+B35+B37)</f>
        <v>311553600</v>
      </c>
      <c r="C31" s="211">
        <f>SUM(C32+C35+C37)</f>
        <v>288008500</v>
      </c>
      <c r="D31" s="211">
        <f>SUM(D32+D35+D37)</f>
        <v>0</v>
      </c>
      <c r="E31" s="211">
        <f>SUM(E32+E35+E37)</f>
        <v>8432320.25</v>
      </c>
      <c r="F31" s="211">
        <f>SUM(F32+F35+F37)</f>
        <v>133845810.03</v>
      </c>
      <c r="G31" s="211">
        <f t="shared" si="4"/>
        <v>42.960765027269787</v>
      </c>
      <c r="H31" s="211">
        <f t="shared" si="5"/>
        <v>46.472867998687541</v>
      </c>
      <c r="I31" s="211">
        <f>SUM(I32+I35+I37)</f>
        <v>145730369.72</v>
      </c>
      <c r="J31" s="211">
        <f t="shared" si="6"/>
        <v>50.599329436457609</v>
      </c>
    </row>
    <row r="32" spans="1:10" ht="21" customHeight="1" x14ac:dyDescent="0.3">
      <c r="A32" s="215" t="s">
        <v>28</v>
      </c>
      <c r="B32" s="211">
        <f>SUM(B33+B34)</f>
        <v>36481000</v>
      </c>
      <c r="C32" s="211">
        <f>SUM(C33+C34)</f>
        <v>29575600</v>
      </c>
      <c r="D32" s="211">
        <f>SUM(D33+D34)</f>
        <v>0</v>
      </c>
      <c r="E32" s="211">
        <f>SUM(E33+E34)</f>
        <v>8228080.25</v>
      </c>
      <c r="F32" s="211">
        <f>SUM(F33+F34)</f>
        <v>5230894.8100000005</v>
      </c>
      <c r="G32" s="211">
        <f t="shared" si="4"/>
        <v>14.33868262931389</v>
      </c>
      <c r="H32" s="211">
        <f t="shared" si="5"/>
        <v>17.686521355441652</v>
      </c>
      <c r="I32" s="211">
        <f>SUM(I33+I34)</f>
        <v>16116624.939999999</v>
      </c>
      <c r="J32" s="211">
        <f t="shared" si="6"/>
        <v>54.492977116271526</v>
      </c>
    </row>
    <row r="33" spans="1:10" ht="21" customHeight="1" x14ac:dyDescent="0.3">
      <c r="A33" s="179" t="s">
        <v>44</v>
      </c>
      <c r="B33" s="213">
        <v>25611300</v>
      </c>
      <c r="C33" s="213">
        <f>SUM('ใบกัน+GF ม.ค. 68'!C35)</f>
        <v>22111000</v>
      </c>
      <c r="D33" s="213">
        <v>0</v>
      </c>
      <c r="E33" s="213">
        <v>8228080.25</v>
      </c>
      <c r="F33" s="213">
        <f>SUM('ใบกัน+GF ม.ค. 68'!D35)</f>
        <v>2584906.34</v>
      </c>
      <c r="G33" s="214">
        <f t="shared" si="4"/>
        <v>10.092835350021279</v>
      </c>
      <c r="H33" s="214">
        <f t="shared" si="5"/>
        <v>11.690589932612726</v>
      </c>
      <c r="I33" s="213">
        <f>SUM(C33-D33-E33-F33)</f>
        <v>11298013.41</v>
      </c>
      <c r="J33" s="214">
        <f t="shared" si="6"/>
        <v>51.096799828139837</v>
      </c>
    </row>
    <row r="34" spans="1:10" ht="21" customHeight="1" x14ac:dyDescent="0.3">
      <c r="A34" s="179" t="s">
        <v>45</v>
      </c>
      <c r="B34" s="213">
        <v>10869700</v>
      </c>
      <c r="C34" s="213">
        <f>SUM('ใบกัน+GF ม.ค. 68'!C36)</f>
        <v>7464600</v>
      </c>
      <c r="D34" s="213">
        <v>0</v>
      </c>
      <c r="E34" s="213">
        <v>0</v>
      </c>
      <c r="F34" s="213">
        <f>SUM('ใบกัน+GF ม.ค. 68'!D36)</f>
        <v>2645988.4700000002</v>
      </c>
      <c r="G34" s="214">
        <f t="shared" si="4"/>
        <v>24.342792073378291</v>
      </c>
      <c r="H34" s="214">
        <f t="shared" si="5"/>
        <v>35.447156846984434</v>
      </c>
      <c r="I34" s="213">
        <f>SUM(C34-D34-E34-F34)</f>
        <v>4818611.5299999993</v>
      </c>
      <c r="J34" s="214">
        <f t="shared" si="6"/>
        <v>64.552843153015559</v>
      </c>
    </row>
    <row r="35" spans="1:10" ht="21" customHeight="1" x14ac:dyDescent="0.3">
      <c r="A35" s="215" t="s">
        <v>30</v>
      </c>
      <c r="B35" s="211">
        <f>SUM(B36)</f>
        <v>98524800</v>
      </c>
      <c r="C35" s="211">
        <f>SUM(C36)</f>
        <v>98524800</v>
      </c>
      <c r="D35" s="211">
        <f>SUM(D36)</f>
        <v>0</v>
      </c>
      <c r="E35" s="211">
        <f>SUM(E36)</f>
        <v>0</v>
      </c>
      <c r="F35" s="211">
        <f>SUM(F36)</f>
        <v>0</v>
      </c>
      <c r="G35" s="211">
        <v>0</v>
      </c>
      <c r="H35" s="211">
        <v>0</v>
      </c>
      <c r="I35" s="211">
        <f>SUM(I36)</f>
        <v>98524800</v>
      </c>
      <c r="J35" s="211">
        <v>0</v>
      </c>
    </row>
    <row r="36" spans="1:10" ht="21" customHeight="1" x14ac:dyDescent="0.3">
      <c r="A36" s="179" t="s">
        <v>46</v>
      </c>
      <c r="B36" s="213">
        <v>98524800</v>
      </c>
      <c r="C36" s="213">
        <f>SUM('ใบกัน+GF ม.ค. 68'!C38)</f>
        <v>98524800</v>
      </c>
      <c r="D36" s="213">
        <v>0</v>
      </c>
      <c r="E36" s="213">
        <v>0</v>
      </c>
      <c r="F36" s="213">
        <f>SUM('ใบกัน+GF ม.ค. 68'!D38)</f>
        <v>0</v>
      </c>
      <c r="G36" s="214">
        <v>0</v>
      </c>
      <c r="H36" s="214">
        <v>0</v>
      </c>
      <c r="I36" s="213">
        <f>SUM(C36-D36-E36-F36)</f>
        <v>98524800</v>
      </c>
      <c r="J36" s="214">
        <v>0</v>
      </c>
    </row>
    <row r="37" spans="1:10" ht="21" customHeight="1" x14ac:dyDescent="0.3">
      <c r="A37" s="215" t="s">
        <v>47</v>
      </c>
      <c r="B37" s="211">
        <f>SUM(B38+B39)</f>
        <v>176547800</v>
      </c>
      <c r="C37" s="211">
        <f>SUM(C38+C39)</f>
        <v>159908100</v>
      </c>
      <c r="D37" s="211">
        <f>SUM(D38+D39)</f>
        <v>0</v>
      </c>
      <c r="E37" s="211">
        <f>SUM(E38+E39)</f>
        <v>204240</v>
      </c>
      <c r="F37" s="211">
        <f>SUM(F38+F39)</f>
        <v>128614915.22</v>
      </c>
      <c r="G37" s="211">
        <f>SUM(F37/B37*100)</f>
        <v>72.84991102692868</v>
      </c>
      <c r="H37" s="211">
        <f>SUM(F37/C37*100)</f>
        <v>80.43051929201836</v>
      </c>
      <c r="I37" s="211">
        <f>SUM(I38+I39)</f>
        <v>31088944.780000001</v>
      </c>
      <c r="J37" s="211">
        <f>SUM(I37/C37*100)</f>
        <v>19.441757346876113</v>
      </c>
    </row>
    <row r="38" spans="1:10" ht="21" customHeight="1" x14ac:dyDescent="0.3">
      <c r="A38" s="179" t="s">
        <v>48</v>
      </c>
      <c r="B38" s="213">
        <v>48976800</v>
      </c>
      <c r="C38" s="213">
        <f>SUM('ใบกัน+GF ม.ค. 68'!C40)</f>
        <v>32337100</v>
      </c>
      <c r="D38" s="213">
        <v>0</v>
      </c>
      <c r="E38" s="213">
        <f>29700+174540</f>
        <v>204240</v>
      </c>
      <c r="F38" s="213">
        <f>SUM('ใบกัน+GF ม.ค. 68'!D40)</f>
        <v>1077257.2199999997</v>
      </c>
      <c r="G38" s="214">
        <v>0</v>
      </c>
      <c r="H38" s="214">
        <v>0</v>
      </c>
      <c r="I38" s="213">
        <f>SUM(C38-D38-E38-F38)</f>
        <v>31055602.780000001</v>
      </c>
      <c r="J38" s="214">
        <v>0</v>
      </c>
    </row>
    <row r="39" spans="1:10" ht="21" customHeight="1" x14ac:dyDescent="0.3">
      <c r="A39" s="179" t="s">
        <v>49</v>
      </c>
      <c r="B39" s="213">
        <v>127571000</v>
      </c>
      <c r="C39" s="213">
        <f>SUM('ใบกัน+GF ม.ค. 68'!C41)</f>
        <v>127571000</v>
      </c>
      <c r="D39" s="213">
        <v>0</v>
      </c>
      <c r="E39" s="213">
        <v>0</v>
      </c>
      <c r="F39" s="213">
        <f>SUM('ใบกัน+GF ม.ค. 68'!D41)</f>
        <v>127537658</v>
      </c>
      <c r="G39" s="214">
        <f>SUM(F39/B39*100)</f>
        <v>99.973863965948368</v>
      </c>
      <c r="H39" s="214">
        <f>SUM(F39/C39*100)</f>
        <v>99.973863965948368</v>
      </c>
      <c r="I39" s="213">
        <f>SUM(C39-D39-E39-F39)</f>
        <v>33342</v>
      </c>
      <c r="J39" s="214">
        <f>SUM(I39/C39*100)</f>
        <v>2.6136034051626154E-2</v>
      </c>
    </row>
    <row r="40" spans="1:10" ht="21" customHeight="1" x14ac:dyDescent="0.3">
      <c r="A40" s="179"/>
      <c r="B40" s="214"/>
      <c r="C40" s="214"/>
      <c r="D40" s="214"/>
      <c r="E40" s="214"/>
      <c r="F40" s="214"/>
      <c r="G40" s="214"/>
      <c r="H40" s="214"/>
      <c r="I40" s="214"/>
      <c r="J40" s="214"/>
    </row>
    <row r="41" spans="1:10" ht="21" customHeight="1" x14ac:dyDescent="0.3">
      <c r="A41" s="216" t="s">
        <v>33</v>
      </c>
      <c r="B41" s="217">
        <f>SUM(B26+B29+B31)</f>
        <v>456684040</v>
      </c>
      <c r="C41" s="217">
        <f>SUM(C26+C29+C31)</f>
        <v>355770220</v>
      </c>
      <c r="D41" s="217">
        <f>SUM(D26+D29+D31)</f>
        <v>0</v>
      </c>
      <c r="E41" s="217">
        <f>SUM(E26+E29+E31)</f>
        <v>8432320.25</v>
      </c>
      <c r="F41" s="217">
        <f>SUM(F26+F29+F31)</f>
        <v>181822439.03999999</v>
      </c>
      <c r="G41" s="218">
        <f>SUM(F41/B41*100)</f>
        <v>39.813617975351185</v>
      </c>
      <c r="H41" s="218">
        <f>SUM(F41/C41*100)</f>
        <v>51.106705625895273</v>
      </c>
      <c r="I41" s="218">
        <f>SUM(I26+I29+I31)</f>
        <v>165515460.71000001</v>
      </c>
      <c r="J41" s="218">
        <f>SUM(I41/C41*100)</f>
        <v>46.523135272536301</v>
      </c>
    </row>
    <row r="42" spans="1:10" ht="21" customHeight="1" x14ac:dyDescent="0.3">
      <c r="A42" s="219" t="s">
        <v>33</v>
      </c>
      <c r="B42" s="220"/>
      <c r="C42" s="221">
        <f>SUM(C41/B41)</f>
        <v>0.7790292386832699</v>
      </c>
      <c r="D42" s="222">
        <f>SUM(D41/B41)</f>
        <v>0</v>
      </c>
      <c r="E42" s="222">
        <f>SUM(E41/C41)</f>
        <v>2.3701591015684226E-2</v>
      </c>
      <c r="F42" s="223"/>
      <c r="G42" s="224">
        <f>SUM(F41/B41)</f>
        <v>0.39813617975351184</v>
      </c>
      <c r="H42" s="224">
        <f>SUM(F41/C41)</f>
        <v>0.51106705625895277</v>
      </c>
      <c r="I42" s="225"/>
      <c r="J42" s="226">
        <f>SUM(I41/C41)</f>
        <v>0.46523135272536303</v>
      </c>
    </row>
    <row r="43" spans="1:10" ht="21" customHeight="1" x14ac:dyDescent="0.3">
      <c r="A43" s="227"/>
      <c r="B43" s="228"/>
      <c r="C43" s="229"/>
      <c r="D43" s="230"/>
      <c r="E43" s="230"/>
      <c r="F43" s="231"/>
      <c r="G43" s="231"/>
      <c r="H43" s="231"/>
      <c r="I43" s="232"/>
      <c r="J43" s="231"/>
    </row>
    <row r="44" spans="1:10" ht="21" customHeight="1" x14ac:dyDescent="0.3">
      <c r="A44" s="10"/>
      <c r="B44" s="233"/>
      <c r="C44" s="234"/>
      <c r="D44" s="235"/>
      <c r="E44" s="235"/>
      <c r="F44" s="236"/>
      <c r="G44" s="236"/>
      <c r="H44" s="236"/>
      <c r="I44" s="237"/>
      <c r="J44" s="236"/>
    </row>
    <row r="45" spans="1:10" ht="21" customHeight="1" x14ac:dyDescent="0.3">
      <c r="A45" s="6" t="s">
        <v>50</v>
      </c>
      <c r="B45" s="238"/>
      <c r="C45" s="238"/>
      <c r="D45" s="239"/>
      <c r="E45" s="239"/>
      <c r="F45" s="239"/>
      <c r="G45" s="239"/>
      <c r="H45" s="239"/>
      <c r="I45" s="239"/>
      <c r="J45" s="239"/>
    </row>
    <row r="46" spans="1:10" ht="21" customHeight="1" x14ac:dyDescent="0.3">
      <c r="A46" s="6" t="s">
        <v>41</v>
      </c>
      <c r="B46" s="238"/>
      <c r="C46" s="238"/>
      <c r="D46" s="239"/>
      <c r="E46" s="239"/>
      <c r="F46" s="239"/>
      <c r="G46" s="239"/>
      <c r="H46" s="239"/>
      <c r="I46" s="239"/>
      <c r="J46" s="239"/>
    </row>
    <row r="47" spans="1:10" ht="21" customHeight="1" x14ac:dyDescent="0.3">
      <c r="A47" s="210" t="s">
        <v>27</v>
      </c>
      <c r="B47" s="211">
        <f>SUM(B48+B49)</f>
        <v>10584960</v>
      </c>
      <c r="C47" s="211">
        <f>SUM(C48+C49)</f>
        <v>8873080</v>
      </c>
      <c r="D47" s="211">
        <f>SUM(D48+D49)</f>
        <v>0</v>
      </c>
      <c r="E47" s="211">
        <f>SUM(E48+E49)</f>
        <v>0</v>
      </c>
      <c r="F47" s="211">
        <f>SUM(F48+F49)</f>
        <v>8077063.9600000009</v>
      </c>
      <c r="G47" s="211">
        <f t="shared" ref="G47:G55" si="7">SUM(F47/B47*100)</f>
        <v>76.30698613882339</v>
      </c>
      <c r="H47" s="211">
        <f t="shared" ref="H47:H55" si="8">SUM(F47/C47*100)</f>
        <v>91.028864385309276</v>
      </c>
      <c r="I47" s="211">
        <f>SUM(I48+I49)</f>
        <v>796016.03999999957</v>
      </c>
      <c r="J47" s="211">
        <f t="shared" ref="J47:J55" si="9">SUM(I47/C47*100)</f>
        <v>8.9711356146907235</v>
      </c>
    </row>
    <row r="48" spans="1:10" ht="21" customHeight="1" x14ac:dyDescent="0.3">
      <c r="A48" s="179" t="s">
        <v>42</v>
      </c>
      <c r="B48" s="213">
        <f>SUM('ใบกัน+GF ม.ค. 68'!B57)</f>
        <v>2309160</v>
      </c>
      <c r="C48" s="213">
        <f>SUM('ใบกัน+GF ม.ค. 68'!C57)</f>
        <v>4735180</v>
      </c>
      <c r="D48" s="213">
        <v>0</v>
      </c>
      <c r="E48" s="213">
        <v>0</v>
      </c>
      <c r="F48" s="213">
        <f>SUM('ใบกัน+GF ม.ค. 68'!D57)</f>
        <v>4183236.6500000004</v>
      </c>
      <c r="G48" s="214">
        <f t="shared" si="7"/>
        <v>181.15837144242931</v>
      </c>
      <c r="H48" s="214">
        <f t="shared" si="8"/>
        <v>88.343772570419716</v>
      </c>
      <c r="I48" s="213">
        <f>+C48-D48-E48-F48</f>
        <v>551943.34999999963</v>
      </c>
      <c r="J48" s="214">
        <f t="shared" si="9"/>
        <v>11.656227429580282</v>
      </c>
    </row>
    <row r="49" spans="1:10" ht="21" customHeight="1" x14ac:dyDescent="0.3">
      <c r="A49" s="179" t="s">
        <v>51</v>
      </c>
      <c r="B49" s="213">
        <f>SUM('ใบกัน+GF ม.ค. 68'!B58)</f>
        <v>8275800</v>
      </c>
      <c r="C49" s="213">
        <f>SUM('ใบกัน+GF ม.ค. 68'!C58)</f>
        <v>4137900</v>
      </c>
      <c r="D49" s="213">
        <v>0</v>
      </c>
      <c r="E49" s="213">
        <v>0</v>
      </c>
      <c r="F49" s="213">
        <f>SUM('ใบกัน+GF ม.ค. 68'!D58)</f>
        <v>3893827.31</v>
      </c>
      <c r="G49" s="214">
        <f t="shared" si="7"/>
        <v>47.050766209913242</v>
      </c>
      <c r="H49" s="214">
        <f t="shared" si="8"/>
        <v>94.101532419826484</v>
      </c>
      <c r="I49" s="213">
        <f>+C49-D49-E49-F49</f>
        <v>244072.68999999994</v>
      </c>
      <c r="J49" s="214">
        <f t="shared" si="9"/>
        <v>5.8984675801735165</v>
      </c>
    </row>
    <row r="50" spans="1:10" ht="21" customHeight="1" x14ac:dyDescent="0.3">
      <c r="A50" s="215" t="s">
        <v>28</v>
      </c>
      <c r="B50" s="211">
        <f>SUM(B51)</f>
        <v>8116700</v>
      </c>
      <c r="C50" s="211">
        <f>SUM(C51)</f>
        <v>4599500</v>
      </c>
      <c r="D50" s="211">
        <f>SUM(D51)</f>
        <v>0</v>
      </c>
      <c r="E50" s="211">
        <f>SUM(E51)</f>
        <v>0</v>
      </c>
      <c r="F50" s="211">
        <f>SUM(F51)</f>
        <v>4411648.41</v>
      </c>
      <c r="G50" s="211">
        <f t="shared" si="7"/>
        <v>54.352734608892781</v>
      </c>
      <c r="H50" s="211">
        <f t="shared" si="8"/>
        <v>95.91582585063594</v>
      </c>
      <c r="I50" s="211">
        <f>SUM(I51)</f>
        <v>187851.58999999985</v>
      </c>
      <c r="J50" s="211">
        <f t="shared" si="9"/>
        <v>4.084174149364058</v>
      </c>
    </row>
    <row r="51" spans="1:10" ht="21" customHeight="1" x14ac:dyDescent="0.3">
      <c r="A51" s="179" t="s">
        <v>44</v>
      </c>
      <c r="B51" s="213">
        <v>8116700</v>
      </c>
      <c r="C51" s="213">
        <f>SUM('ใบกัน+GF ม.ค. 68'!C60)</f>
        <v>4599500</v>
      </c>
      <c r="D51" s="213">
        <v>0</v>
      </c>
      <c r="E51" s="213">
        <v>0</v>
      </c>
      <c r="F51" s="213">
        <f>SUM('ใบกัน+GF ม.ค. 68'!D60)</f>
        <v>4411648.41</v>
      </c>
      <c r="G51" s="214">
        <f t="shared" si="7"/>
        <v>54.352734608892781</v>
      </c>
      <c r="H51" s="214">
        <f t="shared" si="8"/>
        <v>95.91582585063594</v>
      </c>
      <c r="I51" s="213">
        <f>+C51-D51-E51-F51</f>
        <v>187851.58999999985</v>
      </c>
      <c r="J51" s="214">
        <f t="shared" si="9"/>
        <v>4.084174149364058</v>
      </c>
    </row>
    <row r="52" spans="1:10" ht="21" customHeight="1" x14ac:dyDescent="0.3">
      <c r="A52" s="215" t="s">
        <v>29</v>
      </c>
      <c r="B52" s="211">
        <f>SUM(B53+B56+B58)</f>
        <v>6615000</v>
      </c>
      <c r="C52" s="211">
        <f>SUM(C53+C56+C58)</f>
        <v>3399900</v>
      </c>
      <c r="D52" s="211">
        <f>SUM(D53+D56+D58)</f>
        <v>0</v>
      </c>
      <c r="E52" s="211">
        <f>SUM(E53+E56+E58)</f>
        <v>0</v>
      </c>
      <c r="F52" s="211">
        <f>SUM(F53+F56+F58)</f>
        <v>3311149.01</v>
      </c>
      <c r="G52" s="211">
        <f t="shared" si="7"/>
        <v>50.0551626606198</v>
      </c>
      <c r="H52" s="211">
        <f t="shared" si="8"/>
        <v>97.389599988234949</v>
      </c>
      <c r="I52" s="211">
        <f>SUM(I53+I56+I58)</f>
        <v>88750.989999999991</v>
      </c>
      <c r="J52" s="211">
        <f t="shared" si="9"/>
        <v>2.6104000117650514</v>
      </c>
    </row>
    <row r="53" spans="1:10" ht="21" customHeight="1" x14ac:dyDescent="0.3">
      <c r="A53" s="215" t="s">
        <v>28</v>
      </c>
      <c r="B53" s="211">
        <f>SUM(B54+B55)</f>
        <v>6615000</v>
      </c>
      <c r="C53" s="211">
        <f>SUM(C54+C55)</f>
        <v>3399900</v>
      </c>
      <c r="D53" s="211">
        <f>SUM(D54+D55)</f>
        <v>0</v>
      </c>
      <c r="E53" s="211">
        <f>SUM(E54+E55)</f>
        <v>0</v>
      </c>
      <c r="F53" s="211">
        <f>SUM(F54+F55)</f>
        <v>3311149.01</v>
      </c>
      <c r="G53" s="211">
        <f t="shared" si="7"/>
        <v>50.0551626606198</v>
      </c>
      <c r="H53" s="211">
        <f t="shared" si="8"/>
        <v>97.389599988234949</v>
      </c>
      <c r="I53" s="211">
        <f>SUM(I54+I55)</f>
        <v>88750.989999999991</v>
      </c>
      <c r="J53" s="211">
        <f t="shared" si="9"/>
        <v>2.6104000117650514</v>
      </c>
    </row>
    <row r="54" spans="1:10" ht="21" customHeight="1" x14ac:dyDescent="0.3">
      <c r="A54" s="179" t="s">
        <v>44</v>
      </c>
      <c r="B54" s="213">
        <v>5769000</v>
      </c>
      <c r="C54" s="213">
        <f>SUM('ใบกัน+GF ม.ค. 68'!C63)</f>
        <v>2956900</v>
      </c>
      <c r="D54" s="213">
        <v>0</v>
      </c>
      <c r="E54" s="213">
        <v>0</v>
      </c>
      <c r="F54" s="213">
        <f>SUM('ใบกัน+GF ม.ค. 68'!D63)</f>
        <v>2888149.5</v>
      </c>
      <c r="G54" s="214">
        <f t="shared" si="7"/>
        <v>50.063260530421218</v>
      </c>
      <c r="H54" s="214">
        <f t="shared" si="8"/>
        <v>97.674912915553449</v>
      </c>
      <c r="I54" s="213">
        <f>+C54-D54-E54-F54</f>
        <v>68750.5</v>
      </c>
      <c r="J54" s="214">
        <f t="shared" si="9"/>
        <v>2.3250870844465488</v>
      </c>
    </row>
    <row r="55" spans="1:10" ht="21" customHeight="1" x14ac:dyDescent="0.3">
      <c r="A55" s="179" t="s">
        <v>45</v>
      </c>
      <c r="B55" s="213">
        <v>846000</v>
      </c>
      <c r="C55" s="213">
        <f>SUM('ใบกัน+GF ม.ค. 68'!C64)</f>
        <v>443000</v>
      </c>
      <c r="D55" s="213">
        <v>0</v>
      </c>
      <c r="E55" s="213">
        <v>0</v>
      </c>
      <c r="F55" s="213">
        <f>SUM('ใบกัน+GF ม.ค. 68'!D64)</f>
        <v>422999.51</v>
      </c>
      <c r="G55" s="214">
        <f t="shared" si="7"/>
        <v>49.999942080378254</v>
      </c>
      <c r="H55" s="214">
        <f t="shared" si="8"/>
        <v>95.485216704288945</v>
      </c>
      <c r="I55" s="213">
        <f>+C55-D55-E55-F55</f>
        <v>20000.489999999991</v>
      </c>
      <c r="J55" s="214">
        <f t="shared" si="9"/>
        <v>4.5147832957110587</v>
      </c>
    </row>
    <row r="56" spans="1:10" ht="21" customHeight="1" x14ac:dyDescent="0.3">
      <c r="A56" s="215" t="s">
        <v>30</v>
      </c>
      <c r="B56" s="211">
        <f>SUM(B57)</f>
        <v>0</v>
      </c>
      <c r="C56" s="211">
        <f>SUM(C57)</f>
        <v>0</v>
      </c>
      <c r="D56" s="211">
        <f>SUM(D57)</f>
        <v>0</v>
      </c>
      <c r="E56" s="211">
        <f>SUM(E57)</f>
        <v>0</v>
      </c>
      <c r="F56" s="211">
        <f>SUM(F57)</f>
        <v>0</v>
      </c>
      <c r="G56" s="211">
        <v>0</v>
      </c>
      <c r="H56" s="211">
        <v>0</v>
      </c>
      <c r="I56" s="211">
        <f>SUM(I57)</f>
        <v>0</v>
      </c>
      <c r="J56" s="211">
        <v>0</v>
      </c>
    </row>
    <row r="57" spans="1:10" ht="21" customHeight="1" x14ac:dyDescent="0.3">
      <c r="A57" s="179" t="s">
        <v>46</v>
      </c>
      <c r="B57" s="213">
        <f>SUM('ใบกัน+GF ม.ค. 68'!B66)</f>
        <v>0</v>
      </c>
      <c r="C57" s="213">
        <f>SUM('ใบกัน+GF ม.ค. 68'!C66)</f>
        <v>0</v>
      </c>
      <c r="D57" s="213">
        <v>0</v>
      </c>
      <c r="E57" s="213">
        <v>0</v>
      </c>
      <c r="F57" s="213">
        <f>SUM('ใบกัน+GF ม.ค. 68'!D66)</f>
        <v>0</v>
      </c>
      <c r="G57" s="214">
        <v>0</v>
      </c>
      <c r="H57" s="214">
        <v>0</v>
      </c>
      <c r="I57" s="213">
        <f>+C57-D57-E57-F57</f>
        <v>0</v>
      </c>
      <c r="J57" s="214">
        <v>0</v>
      </c>
    </row>
    <row r="58" spans="1:10" ht="21" customHeight="1" x14ac:dyDescent="0.3">
      <c r="A58" s="212" t="s">
        <v>52</v>
      </c>
      <c r="B58" s="214">
        <f>SUM('ใบกัน+GF ม.ค. 68'!B67)</f>
        <v>0</v>
      </c>
      <c r="C58" s="214">
        <f>SUM('ใบกัน+GF ม.ค. 68'!C67)</f>
        <v>0</v>
      </c>
      <c r="D58" s="214">
        <v>0</v>
      </c>
      <c r="E58" s="214">
        <v>0</v>
      </c>
      <c r="F58" s="214">
        <f>SUM('ใบกัน+GF ม.ค. 68'!D67)</f>
        <v>0</v>
      </c>
      <c r="G58" s="214">
        <v>0</v>
      </c>
      <c r="H58" s="214">
        <v>0</v>
      </c>
      <c r="I58" s="213">
        <f>+C58-D58-E58-F58</f>
        <v>0</v>
      </c>
      <c r="J58" s="214">
        <v>0</v>
      </c>
    </row>
    <row r="59" spans="1:10" ht="21" customHeight="1" x14ac:dyDescent="0.3">
      <c r="A59" s="179"/>
      <c r="B59" s="238"/>
      <c r="C59" s="238"/>
      <c r="D59" s="239"/>
      <c r="E59" s="239"/>
      <c r="F59" s="213"/>
      <c r="G59" s="213"/>
      <c r="H59" s="240"/>
      <c r="I59" s="180"/>
      <c r="J59" s="182"/>
    </row>
    <row r="60" spans="1:10" ht="21" customHeight="1" x14ac:dyDescent="0.3">
      <c r="A60" s="216" t="s">
        <v>33</v>
      </c>
      <c r="B60" s="241">
        <f>SUM(B47+B50+B52)</f>
        <v>25316660</v>
      </c>
      <c r="C60" s="242">
        <f>SUM(C47+C50+C52)</f>
        <v>16872480</v>
      </c>
      <c r="D60" s="217">
        <f>SUM(D45+D48+D50)</f>
        <v>0</v>
      </c>
      <c r="E60" s="217">
        <f>SUM(E45+E48+E50)</f>
        <v>0</v>
      </c>
      <c r="F60" s="243">
        <f>SUM(F47+F50+F52)</f>
        <v>15799861.380000001</v>
      </c>
      <c r="G60" s="243">
        <f>SUM(F60/B60*100)</f>
        <v>62.408948810783102</v>
      </c>
      <c r="H60" s="243">
        <f>SUM(F60/C60*100)</f>
        <v>93.642792168074891</v>
      </c>
      <c r="I60" s="243">
        <f>SUM(I47+I50+I52+I58)</f>
        <v>1072618.6199999994</v>
      </c>
      <c r="J60" s="243">
        <f>SUM(I60/C60*100)</f>
        <v>6.3572078319251197</v>
      </c>
    </row>
    <row r="61" spans="1:10" ht="21" customHeight="1" x14ac:dyDescent="0.3">
      <c r="A61" s="219" t="s">
        <v>33</v>
      </c>
      <c r="B61" s="244"/>
      <c r="C61" s="221">
        <f>SUM(C60/B60)</f>
        <v>0.66645758168731584</v>
      </c>
      <c r="D61" s="245">
        <f>SUM(D60/B60)</f>
        <v>0</v>
      </c>
      <c r="E61" s="245">
        <f>SUM(E60/C60)</f>
        <v>0</v>
      </c>
      <c r="F61" s="246"/>
      <c r="G61" s="224">
        <f>SUM(F60/B60)</f>
        <v>0.62408948810783105</v>
      </c>
      <c r="H61" s="224">
        <f>SUM(F60/C60)</f>
        <v>0.93642792168074884</v>
      </c>
      <c r="I61" s="225"/>
      <c r="J61" s="226">
        <f>SUM(I60/C60)</f>
        <v>6.3572078319251199E-2</v>
      </c>
    </row>
  </sheetData>
  <mergeCells count="9">
    <mergeCell ref="G20:I20"/>
    <mergeCell ref="G21:I21"/>
    <mergeCell ref="A1:J1"/>
    <mergeCell ref="A2:J2"/>
    <mergeCell ref="F4:H4"/>
    <mergeCell ref="I4:J4"/>
    <mergeCell ref="A17:B17"/>
    <mergeCell ref="A18:B18"/>
    <mergeCell ref="G19:I19"/>
  </mergeCells>
  <conditionalFormatting sqref="A4:C5 J19:Z22 J23 L23:Z23 G22">
    <cfRule type="cellIs" dxfId="722" priority="1" operator="lessThan">
      <formula>0</formula>
    </cfRule>
  </conditionalFormatting>
  <conditionalFormatting sqref="A6:J6">
    <cfRule type="cellIs" dxfId="721" priority="2" operator="lessThan">
      <formula>0</formula>
    </cfRule>
  </conditionalFormatting>
  <conditionalFormatting sqref="A1:Z3 D4:Z4 K5:Z6 B16:Z16 A19:G23">
    <cfRule type="cellIs" dxfId="720" priority="3" operator="lessThan">
      <formula>0</formula>
    </cfRule>
  </conditionalFormatting>
  <conditionalFormatting sqref="A7:Z15 A16:A18">
    <cfRule type="cellIs" dxfId="719" priority="4" operator="lessThan">
      <formula>0</formula>
    </cfRule>
  </conditionalFormatting>
  <conditionalFormatting sqref="C17:Z18">
    <cfRule type="cellIs" dxfId="718" priority="5" operator="lessThan">
      <formula>0</formula>
    </cfRule>
  </conditionalFormatting>
  <conditionalFormatting sqref="D5:J5">
    <cfRule type="cellIs" dxfId="717" priority="6" operator="lessThan">
      <formula>0</formula>
    </cfRule>
  </conditionalFormatting>
  <printOptions horizontalCentered="1"/>
  <pageMargins left="0" right="0" top="0.74803149606299213" bottom="0.74803149606299213" header="0" footer="0"/>
  <pageSetup paperSize="9" scale="87" orientation="landscape" r:id="rId1"/>
  <rowBreaks count="2" manualBreakCount="2">
    <brk id="23" man="1"/>
    <brk id="44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CC99"/>
    <pageSetUpPr fitToPage="1"/>
  </sheetPr>
  <dimension ref="A1:AE176"/>
  <sheetViews>
    <sheetView workbookViewId="0">
      <pane xSplit="4" ySplit="5" topLeftCell="E42" activePane="bottomRight" state="frozen"/>
      <selection activeCell="E13" sqref="E13"/>
      <selection pane="topRight" activeCell="E13" sqref="E13"/>
      <selection pane="bottomLeft" activeCell="E13" sqref="E13"/>
      <selection pane="bottomRight" activeCell="G56" sqref="G56"/>
    </sheetView>
  </sheetViews>
  <sheetFormatPr defaultColWidth="14.42578125" defaultRowHeight="15" customHeight="1" x14ac:dyDescent="0.3"/>
  <cols>
    <col min="1" max="1" width="11.28515625" style="744" customWidth="1"/>
    <col min="2" max="2" width="12.7109375" style="137" customWidth="1"/>
    <col min="3" max="3" width="24.140625" style="137" customWidth="1"/>
    <col min="4" max="4" width="71" style="137" customWidth="1"/>
    <col min="5" max="11" width="16.85546875" style="137" customWidth="1"/>
    <col min="12" max="12" width="16.85546875" style="721" customWidth="1"/>
    <col min="13" max="13" width="17.140625" style="952" customWidth="1"/>
    <col min="14" max="14" width="26.7109375" style="953" customWidth="1"/>
    <col min="15" max="15" width="16.42578125" style="953" customWidth="1"/>
    <col min="16" max="16" width="21.42578125" style="766" customWidth="1"/>
    <col min="17" max="17" width="13.140625" style="770" customWidth="1"/>
    <col min="18" max="19" width="21.7109375" style="137" customWidth="1"/>
    <col min="20" max="20" width="16" style="137" customWidth="1"/>
    <col min="21" max="21" width="16.140625" style="137" customWidth="1"/>
    <col min="22" max="22" width="15.85546875" style="137" customWidth="1"/>
    <col min="23" max="24" width="16" style="137" customWidth="1"/>
    <col min="25" max="25" width="16.140625" style="137" customWidth="1"/>
    <col min="26" max="26" width="15.85546875" style="137" customWidth="1"/>
    <col min="27" max="27" width="16.140625" style="137" customWidth="1"/>
    <col min="28" max="29" width="16" style="137" customWidth="1"/>
    <col min="30" max="31" width="16.140625" style="137" customWidth="1"/>
    <col min="32" max="16384" width="14.42578125" style="137"/>
  </cols>
  <sheetData>
    <row r="1" spans="1:31" ht="18.75" customHeight="1" x14ac:dyDescent="0.3">
      <c r="A1" s="733"/>
      <c r="B1" s="42"/>
      <c r="C1" s="42"/>
      <c r="D1" s="747" t="s">
        <v>1250</v>
      </c>
      <c r="E1" s="37"/>
      <c r="F1" s="37"/>
      <c r="G1" s="37"/>
      <c r="H1" s="37"/>
      <c r="I1" s="37"/>
      <c r="J1" s="37"/>
      <c r="K1" s="37"/>
      <c r="L1" s="788"/>
      <c r="O1" s="873"/>
      <c r="P1" s="764"/>
      <c r="Q1" s="769"/>
      <c r="R1" s="37"/>
      <c r="S1" s="37"/>
      <c r="T1" s="395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</row>
    <row r="2" spans="1:31" s="133" customFormat="1" ht="37.5" x14ac:dyDescent="0.3">
      <c r="A2" s="1098" t="s">
        <v>201</v>
      </c>
      <c r="B2" s="1099" t="s">
        <v>202</v>
      </c>
      <c r="C2" s="1099" t="s">
        <v>1198</v>
      </c>
      <c r="D2" s="1099" t="s">
        <v>77</v>
      </c>
      <c r="E2" s="1020" t="s">
        <v>1246</v>
      </c>
      <c r="F2" s="1020" t="s">
        <v>1247</v>
      </c>
      <c r="G2" s="1020" t="s">
        <v>333</v>
      </c>
      <c r="H2" s="905" t="s">
        <v>334</v>
      </c>
      <c r="I2" s="1020" t="s">
        <v>335</v>
      </c>
      <c r="J2" s="905" t="s">
        <v>1248</v>
      </c>
      <c r="K2" s="905" t="s">
        <v>1249</v>
      </c>
      <c r="L2" s="1075" t="s">
        <v>208</v>
      </c>
      <c r="M2" s="865" t="s">
        <v>273</v>
      </c>
      <c r="N2" s="866" t="s">
        <v>274</v>
      </c>
      <c r="O2" s="867" t="s">
        <v>275</v>
      </c>
      <c r="P2" s="868" t="s">
        <v>276</v>
      </c>
      <c r="Q2" s="869" t="s">
        <v>86</v>
      </c>
      <c r="R2" s="867" t="s">
        <v>277</v>
      </c>
      <c r="S2" s="906" t="s">
        <v>1217</v>
      </c>
      <c r="T2" s="906" t="s">
        <v>1218</v>
      </c>
      <c r="U2" s="906" t="s">
        <v>1219</v>
      </c>
      <c r="V2" s="906" t="s">
        <v>1220</v>
      </c>
      <c r="W2" s="906" t="s">
        <v>1221</v>
      </c>
      <c r="X2" s="906" t="s">
        <v>1222</v>
      </c>
      <c r="Y2" s="906" t="s">
        <v>1223</v>
      </c>
      <c r="Z2" s="906" t="s">
        <v>1224</v>
      </c>
      <c r="AA2" s="906" t="s">
        <v>1225</v>
      </c>
      <c r="AB2" s="906" t="s">
        <v>1226</v>
      </c>
      <c r="AC2" s="906" t="s">
        <v>1227</v>
      </c>
      <c r="AD2" s="906" t="s">
        <v>1228</v>
      </c>
      <c r="AE2" s="906" t="s">
        <v>306</v>
      </c>
    </row>
    <row r="3" spans="1:31" ht="18.75" customHeight="1" x14ac:dyDescent="0.3">
      <c r="A3" s="1022"/>
      <c r="B3" s="724"/>
      <c r="C3" s="1023"/>
      <c r="D3" s="799" t="s">
        <v>209</v>
      </c>
      <c r="E3" s="1024">
        <v>0</v>
      </c>
      <c r="F3" s="907">
        <v>0</v>
      </c>
      <c r="G3" s="1024">
        <v>0</v>
      </c>
      <c r="H3" s="907">
        <v>0</v>
      </c>
      <c r="I3" s="1024">
        <v>0</v>
      </c>
      <c r="J3" s="907">
        <v>0</v>
      </c>
      <c r="K3" s="1024">
        <v>0</v>
      </c>
      <c r="L3" s="1024">
        <f>SUM(E3:K3)</f>
        <v>0</v>
      </c>
      <c r="M3" s="949"/>
      <c r="N3" s="950"/>
      <c r="O3" s="951"/>
      <c r="P3" s="908"/>
      <c r="Q3" s="862"/>
      <c r="R3" s="17"/>
      <c r="S3" s="17"/>
      <c r="T3" s="474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</row>
    <row r="4" spans="1:31" ht="18.75" customHeight="1" x14ac:dyDescent="0.3">
      <c r="A4" s="1025"/>
      <c r="B4" s="726"/>
      <c r="C4" s="1026"/>
      <c r="D4" s="800" t="s">
        <v>1203</v>
      </c>
      <c r="E4" s="807">
        <v>1700000</v>
      </c>
      <c r="F4" s="807">
        <v>150000</v>
      </c>
      <c r="G4" s="807">
        <v>0</v>
      </c>
      <c r="H4" s="1091">
        <v>0</v>
      </c>
      <c r="I4" s="807">
        <v>2055000</v>
      </c>
      <c r="J4" s="1091">
        <v>32500</v>
      </c>
      <c r="K4" s="807">
        <v>70000</v>
      </c>
      <c r="L4" s="807">
        <f>SUM(E4:K4)</f>
        <v>4007500</v>
      </c>
      <c r="M4" s="949"/>
      <c r="N4" s="950"/>
      <c r="O4" s="951">
        <f>SUM(O7:O16)</f>
        <v>97848.61</v>
      </c>
      <c r="P4" s="909">
        <f>SUM(P7:P16)</f>
        <v>0</v>
      </c>
      <c r="Q4" s="862">
        <f>SUM(Q7:Q16)</f>
        <v>43318.990000000005</v>
      </c>
      <c r="R4" s="17"/>
      <c r="S4" s="17"/>
      <c r="T4" s="474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</row>
    <row r="5" spans="1:31" ht="18.75" customHeight="1" x14ac:dyDescent="0.3">
      <c r="A5" s="1076"/>
      <c r="B5" s="857"/>
      <c r="C5" s="1077"/>
      <c r="D5" s="815" t="s">
        <v>211</v>
      </c>
      <c r="E5" s="753"/>
      <c r="F5" s="756"/>
      <c r="G5" s="753"/>
      <c r="H5" s="756"/>
      <c r="I5" s="753"/>
      <c r="J5" s="756"/>
      <c r="K5" s="753"/>
      <c r="L5" s="807"/>
      <c r="O5" s="873"/>
      <c r="P5" s="861"/>
      <c r="Q5" s="863"/>
      <c r="R5" s="4"/>
      <c r="S5" s="4"/>
      <c r="T5" s="475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18.75" customHeight="1" x14ac:dyDescent="0.3">
      <c r="A6" s="1027" t="s">
        <v>212</v>
      </c>
      <c r="B6" s="27"/>
      <c r="C6" s="1028"/>
      <c r="D6" s="29"/>
      <c r="E6" s="1029"/>
      <c r="F6" s="4"/>
      <c r="G6" s="1029"/>
      <c r="H6" s="4"/>
      <c r="I6" s="1029"/>
      <c r="J6" s="4"/>
      <c r="K6" s="1029"/>
      <c r="L6" s="807">
        <f t="shared" ref="L6:L72" si="0">SUM(E6:K6)</f>
        <v>0</v>
      </c>
      <c r="O6" s="873"/>
      <c r="P6" s="861"/>
      <c r="Q6" s="863"/>
      <c r="R6" s="879"/>
      <c r="S6" s="879"/>
      <c r="T6" s="878"/>
      <c r="U6" s="879"/>
      <c r="V6" s="879"/>
      <c r="W6" s="879"/>
      <c r="X6" s="879"/>
      <c r="Y6" s="879"/>
      <c r="Z6" s="879"/>
      <c r="AA6" s="879"/>
      <c r="AB6" s="879"/>
      <c r="AC6" s="879"/>
      <c r="AD6" s="879"/>
      <c r="AE6" s="879"/>
    </row>
    <row r="7" spans="1:31" ht="37.5" x14ac:dyDescent="0.3">
      <c r="A7" s="957">
        <v>45572</v>
      </c>
      <c r="B7" s="42" t="s">
        <v>1317</v>
      </c>
      <c r="C7" s="955" t="s">
        <v>1315</v>
      </c>
      <c r="D7" s="34" t="s">
        <v>1417</v>
      </c>
      <c r="E7" s="684">
        <v>480</v>
      </c>
      <c r="F7" s="37"/>
      <c r="G7" s="684"/>
      <c r="H7" s="37"/>
      <c r="I7" s="684"/>
      <c r="J7" s="37"/>
      <c r="K7" s="684"/>
      <c r="L7" s="807">
        <f t="shared" si="0"/>
        <v>480</v>
      </c>
      <c r="M7" s="952">
        <v>45580</v>
      </c>
      <c r="N7" s="953" t="s">
        <v>1318</v>
      </c>
      <c r="O7" s="873">
        <v>470.8</v>
      </c>
      <c r="P7" s="764"/>
      <c r="Q7" s="769">
        <f t="shared" ref="Q7:Q12" si="1">L7-O7-P7</f>
        <v>9.1999999999999886</v>
      </c>
      <c r="R7" s="870"/>
      <c r="S7" s="870"/>
      <c r="T7" s="882"/>
      <c r="U7" s="870"/>
      <c r="V7" s="870"/>
      <c r="W7" s="870"/>
      <c r="X7" s="870"/>
      <c r="Y7" s="870"/>
      <c r="Z7" s="870"/>
      <c r="AA7" s="870"/>
      <c r="AB7" s="870"/>
      <c r="AC7" s="870"/>
      <c r="AD7" s="870"/>
      <c r="AE7" s="870"/>
    </row>
    <row r="8" spans="1:31" ht="37.5" x14ac:dyDescent="0.3">
      <c r="A8" s="957">
        <v>45583</v>
      </c>
      <c r="B8" s="42" t="s">
        <v>1340</v>
      </c>
      <c r="C8" s="955" t="s">
        <v>1303</v>
      </c>
      <c r="D8" s="34" t="s">
        <v>1339</v>
      </c>
      <c r="E8" s="684">
        <v>60000</v>
      </c>
      <c r="F8" s="37"/>
      <c r="G8" s="684"/>
      <c r="H8" s="37"/>
      <c r="I8" s="684"/>
      <c r="J8" s="37"/>
      <c r="K8" s="684"/>
      <c r="L8" s="807">
        <f t="shared" si="0"/>
        <v>60000</v>
      </c>
      <c r="M8" s="1147" t="s">
        <v>1835</v>
      </c>
      <c r="N8" s="1148" t="s">
        <v>1836</v>
      </c>
      <c r="O8" s="873">
        <f>16990.3+19090+18721.2</f>
        <v>54801.5</v>
      </c>
      <c r="P8" s="764"/>
      <c r="Q8" s="769">
        <f t="shared" si="1"/>
        <v>5198.5</v>
      </c>
      <c r="R8" s="870"/>
      <c r="S8" s="870"/>
      <c r="T8" s="882"/>
      <c r="U8" s="870"/>
      <c r="V8" s="870"/>
      <c r="W8" s="870"/>
      <c r="X8" s="870"/>
      <c r="Y8" s="870"/>
      <c r="Z8" s="870"/>
      <c r="AA8" s="870"/>
      <c r="AB8" s="870"/>
      <c r="AC8" s="870"/>
      <c r="AD8" s="870"/>
      <c r="AE8" s="870"/>
    </row>
    <row r="9" spans="1:31" ht="37.5" x14ac:dyDescent="0.3">
      <c r="A9" s="957">
        <v>45587</v>
      </c>
      <c r="B9" s="42" t="s">
        <v>1373</v>
      </c>
      <c r="C9" s="955" t="s">
        <v>1315</v>
      </c>
      <c r="D9" s="34" t="s">
        <v>1418</v>
      </c>
      <c r="E9" s="684">
        <v>2400</v>
      </c>
      <c r="F9" s="37"/>
      <c r="G9" s="684"/>
      <c r="H9" s="37"/>
      <c r="I9" s="684"/>
      <c r="J9" s="37"/>
      <c r="K9" s="684"/>
      <c r="L9" s="807">
        <f t="shared" si="0"/>
        <v>2400</v>
      </c>
      <c r="M9" s="952">
        <v>45601</v>
      </c>
      <c r="N9" s="953" t="s">
        <v>1602</v>
      </c>
      <c r="O9" s="873">
        <v>2159.1999999999998</v>
      </c>
      <c r="P9" s="765"/>
      <c r="Q9" s="769">
        <f t="shared" si="1"/>
        <v>240.80000000000018</v>
      </c>
      <c r="R9" s="870"/>
      <c r="S9" s="870"/>
      <c r="T9" s="882"/>
      <c r="U9" s="870"/>
      <c r="V9" s="870"/>
      <c r="W9" s="870"/>
      <c r="X9" s="870"/>
      <c r="Y9" s="870"/>
      <c r="Z9" s="870"/>
      <c r="AA9" s="870"/>
      <c r="AB9" s="870"/>
      <c r="AC9" s="870"/>
      <c r="AD9" s="870"/>
      <c r="AE9" s="870"/>
    </row>
    <row r="10" spans="1:31" ht="37.5" x14ac:dyDescent="0.3">
      <c r="A10" s="957">
        <v>45589</v>
      </c>
      <c r="B10" s="42" t="s">
        <v>1388</v>
      </c>
      <c r="C10" s="840" t="s">
        <v>1315</v>
      </c>
      <c r="D10" s="34" t="s">
        <v>1419</v>
      </c>
      <c r="E10" s="684">
        <v>520</v>
      </c>
      <c r="F10" s="37"/>
      <c r="G10" s="684"/>
      <c r="H10" s="37"/>
      <c r="I10" s="684"/>
      <c r="J10" s="37"/>
      <c r="K10" s="684"/>
      <c r="L10" s="807">
        <f t="shared" si="0"/>
        <v>520</v>
      </c>
      <c r="M10" s="952">
        <v>45595</v>
      </c>
      <c r="N10" s="953" t="s">
        <v>1376</v>
      </c>
      <c r="O10" s="873">
        <v>463.31</v>
      </c>
      <c r="P10" s="764"/>
      <c r="Q10" s="769">
        <f t="shared" si="1"/>
        <v>56.69</v>
      </c>
      <c r="R10" s="870"/>
      <c r="S10" s="870"/>
      <c r="T10" s="882"/>
      <c r="U10" s="870"/>
      <c r="V10" s="870"/>
      <c r="W10" s="870"/>
      <c r="X10" s="870"/>
      <c r="Y10" s="870"/>
      <c r="Z10" s="870"/>
      <c r="AA10" s="870"/>
      <c r="AB10" s="870"/>
      <c r="AC10" s="870"/>
      <c r="AD10" s="870"/>
      <c r="AE10" s="870"/>
    </row>
    <row r="11" spans="1:31" ht="56.25" x14ac:dyDescent="0.3">
      <c r="A11" s="957">
        <v>45590</v>
      </c>
      <c r="B11" s="42" t="s">
        <v>1389</v>
      </c>
      <c r="C11" s="840" t="s">
        <v>1321</v>
      </c>
      <c r="D11" s="34" t="s">
        <v>1387</v>
      </c>
      <c r="E11" s="684">
        <v>2140</v>
      </c>
      <c r="F11" s="37"/>
      <c r="G11" s="684"/>
      <c r="H11" s="37"/>
      <c r="I11" s="684"/>
      <c r="J11" s="37"/>
      <c r="K11" s="684"/>
      <c r="L11" s="807">
        <f t="shared" si="0"/>
        <v>2140</v>
      </c>
      <c r="M11" s="952">
        <v>45611</v>
      </c>
      <c r="N11" s="953" t="s">
        <v>1603</v>
      </c>
      <c r="O11" s="873">
        <v>2140</v>
      </c>
      <c r="P11" s="764"/>
      <c r="Q11" s="769">
        <f t="shared" si="1"/>
        <v>0</v>
      </c>
      <c r="R11" s="870"/>
      <c r="S11" s="870"/>
      <c r="T11" s="882"/>
      <c r="U11" s="870"/>
      <c r="V11" s="870"/>
      <c r="W11" s="870"/>
      <c r="X11" s="870"/>
      <c r="Y11" s="870"/>
      <c r="Z11" s="870"/>
      <c r="AA11" s="870"/>
      <c r="AB11" s="870"/>
      <c r="AC11" s="870"/>
      <c r="AD11" s="870"/>
      <c r="AE11" s="870"/>
    </row>
    <row r="12" spans="1:31" ht="56.25" x14ac:dyDescent="0.3">
      <c r="A12" s="957">
        <v>45596</v>
      </c>
      <c r="B12" s="42" t="s">
        <v>1409</v>
      </c>
      <c r="C12" s="955" t="s">
        <v>1321</v>
      </c>
      <c r="D12" s="41" t="s">
        <v>1408</v>
      </c>
      <c r="E12" s="684">
        <v>75627.600000000006</v>
      </c>
      <c r="F12" s="37"/>
      <c r="G12" s="684"/>
      <c r="H12" s="37"/>
      <c r="I12" s="684"/>
      <c r="J12" s="37"/>
      <c r="K12" s="684"/>
      <c r="L12" s="807">
        <f t="shared" si="0"/>
        <v>75627.600000000006</v>
      </c>
      <c r="M12" s="1147" t="s">
        <v>1848</v>
      </c>
      <c r="N12" s="1148" t="s">
        <v>1849</v>
      </c>
      <c r="O12" s="873">
        <f>12604.6+12604.6+12604.6</f>
        <v>37813.800000000003</v>
      </c>
      <c r="P12" s="764"/>
      <c r="Q12" s="769">
        <f t="shared" si="1"/>
        <v>37813.800000000003</v>
      </c>
      <c r="R12" s="870"/>
      <c r="S12" s="870"/>
      <c r="T12" s="882"/>
      <c r="U12" s="870"/>
      <c r="V12" s="870"/>
      <c r="W12" s="870"/>
      <c r="X12" s="870"/>
      <c r="Y12" s="870"/>
      <c r="Z12" s="870"/>
      <c r="AA12" s="870"/>
      <c r="AB12" s="870"/>
      <c r="AC12" s="870"/>
      <c r="AD12" s="870"/>
      <c r="AE12" s="870"/>
    </row>
    <row r="13" spans="1:31" ht="18.75" customHeight="1" x14ac:dyDescent="0.3">
      <c r="A13" s="957"/>
      <c r="B13" s="42"/>
      <c r="C13" s="955"/>
      <c r="D13" s="936"/>
      <c r="E13" s="1080"/>
      <c r="F13" s="37"/>
      <c r="G13" s="684"/>
      <c r="H13" s="37"/>
      <c r="I13" s="684"/>
      <c r="J13" s="37"/>
      <c r="K13" s="684"/>
      <c r="L13" s="807">
        <f t="shared" si="0"/>
        <v>0</v>
      </c>
      <c r="O13" s="873"/>
      <c r="P13" s="764"/>
      <c r="Q13" s="769">
        <v>0</v>
      </c>
      <c r="R13" s="870"/>
      <c r="S13" s="870"/>
      <c r="T13" s="882"/>
      <c r="U13" s="870"/>
      <c r="V13" s="870"/>
      <c r="W13" s="870"/>
      <c r="X13" s="870"/>
      <c r="Y13" s="870"/>
      <c r="Z13" s="870"/>
      <c r="AA13" s="870"/>
      <c r="AB13" s="870"/>
      <c r="AC13" s="870"/>
      <c r="AD13" s="870"/>
      <c r="AE13" s="870"/>
    </row>
    <row r="14" spans="1:31" ht="18.75" customHeight="1" x14ac:dyDescent="0.3">
      <c r="A14" s="957"/>
      <c r="B14" s="42"/>
      <c r="C14" s="955"/>
      <c r="D14" s="935"/>
      <c r="E14" s="684"/>
      <c r="F14" s="37"/>
      <c r="G14" s="684"/>
      <c r="H14" s="37"/>
      <c r="I14" s="684"/>
      <c r="J14" s="37"/>
      <c r="K14" s="684"/>
      <c r="L14" s="807">
        <f t="shared" si="0"/>
        <v>0</v>
      </c>
      <c r="O14" s="873"/>
      <c r="P14" s="764"/>
      <c r="Q14" s="769">
        <f t="shared" ref="Q14:Q16" si="2">L14-O14-P14</f>
        <v>0</v>
      </c>
      <c r="R14" s="870"/>
      <c r="S14" s="870"/>
      <c r="T14" s="882"/>
      <c r="U14" s="870"/>
      <c r="V14" s="870"/>
      <c r="W14" s="870"/>
      <c r="X14" s="870"/>
      <c r="Y14" s="870"/>
      <c r="Z14" s="870"/>
      <c r="AA14" s="870"/>
      <c r="AB14" s="870"/>
      <c r="AC14" s="870"/>
      <c r="AD14" s="870"/>
      <c r="AE14" s="870"/>
    </row>
    <row r="15" spans="1:31" ht="18.75" customHeight="1" x14ac:dyDescent="0.3">
      <c r="A15" s="957"/>
      <c r="B15" s="38"/>
      <c r="C15" s="1071"/>
      <c r="D15" s="936"/>
      <c r="E15" s="684"/>
      <c r="F15" s="37"/>
      <c r="G15" s="684"/>
      <c r="H15" s="37"/>
      <c r="I15" s="684"/>
      <c r="J15" s="37"/>
      <c r="K15" s="684"/>
      <c r="L15" s="807">
        <f t="shared" si="0"/>
        <v>0</v>
      </c>
      <c r="O15" s="873"/>
      <c r="P15" s="764"/>
      <c r="Q15" s="769">
        <f t="shared" si="2"/>
        <v>0</v>
      </c>
      <c r="R15" s="870"/>
      <c r="S15" s="870"/>
      <c r="T15" s="882"/>
      <c r="U15" s="870"/>
      <c r="V15" s="870"/>
      <c r="W15" s="870"/>
      <c r="X15" s="870"/>
      <c r="Y15" s="870"/>
      <c r="Z15" s="870"/>
      <c r="AA15" s="870"/>
      <c r="AB15" s="870"/>
      <c r="AC15" s="870"/>
      <c r="AD15" s="870"/>
      <c r="AE15" s="870"/>
    </row>
    <row r="16" spans="1:31" ht="18.75" customHeight="1" x14ac:dyDescent="0.3">
      <c r="A16" s="957"/>
      <c r="B16" s="42"/>
      <c r="C16" s="955"/>
      <c r="D16" s="935"/>
      <c r="E16" s="684"/>
      <c r="F16" s="37"/>
      <c r="G16" s="684"/>
      <c r="H16" s="37"/>
      <c r="I16" s="684"/>
      <c r="J16" s="37"/>
      <c r="K16" s="684"/>
      <c r="L16" s="807">
        <f t="shared" si="0"/>
        <v>0</v>
      </c>
      <c r="O16" s="873"/>
      <c r="P16" s="764"/>
      <c r="Q16" s="769">
        <f t="shared" si="2"/>
        <v>0</v>
      </c>
      <c r="R16" s="870"/>
      <c r="S16" s="870"/>
      <c r="T16" s="882"/>
      <c r="U16" s="883"/>
      <c r="V16" s="883"/>
      <c r="W16" s="883"/>
      <c r="X16" s="883"/>
      <c r="Y16" s="883"/>
      <c r="Z16" s="883"/>
      <c r="AA16" s="883"/>
      <c r="AB16" s="883"/>
      <c r="AC16" s="883"/>
      <c r="AD16" s="883"/>
      <c r="AE16" s="883"/>
    </row>
    <row r="17" spans="1:31" ht="18.75" customHeight="1" x14ac:dyDescent="0.3">
      <c r="A17" s="740"/>
      <c r="B17" s="210"/>
      <c r="C17" s="210"/>
      <c r="D17" s="465" t="s">
        <v>261</v>
      </c>
      <c r="E17" s="466">
        <f t="shared" ref="E17:K17" si="3">SUM(E6:E16)</f>
        <v>141167.6</v>
      </c>
      <c r="F17" s="466">
        <f t="shared" si="3"/>
        <v>0</v>
      </c>
      <c r="G17" s="466">
        <f t="shared" si="3"/>
        <v>0</v>
      </c>
      <c r="H17" s="466">
        <f t="shared" si="3"/>
        <v>0</v>
      </c>
      <c r="I17" s="466">
        <f t="shared" si="3"/>
        <v>0</v>
      </c>
      <c r="J17" s="466">
        <f t="shared" si="3"/>
        <v>0</v>
      </c>
      <c r="K17" s="466">
        <f t="shared" si="3"/>
        <v>0</v>
      </c>
      <c r="L17" s="784">
        <f>SUM(E17:K17)</f>
        <v>141167.6</v>
      </c>
      <c r="O17" s="951"/>
      <c r="P17" s="909"/>
      <c r="Q17" s="769"/>
      <c r="R17" s="887"/>
      <c r="S17" s="887"/>
      <c r="T17" s="882"/>
      <c r="U17" s="870"/>
      <c r="V17" s="870"/>
      <c r="W17" s="870"/>
      <c r="X17" s="870"/>
      <c r="Y17" s="870"/>
      <c r="Z17" s="870"/>
      <c r="AA17" s="870"/>
      <c r="AB17" s="870"/>
      <c r="AC17" s="870"/>
      <c r="AD17" s="870"/>
      <c r="AE17" s="870"/>
    </row>
    <row r="18" spans="1:31" ht="18.75" customHeight="1" x14ac:dyDescent="0.3">
      <c r="A18" s="740"/>
      <c r="B18" s="210"/>
      <c r="C18" s="210"/>
      <c r="D18" s="465" t="s">
        <v>214</v>
      </c>
      <c r="E18" s="466">
        <f t="shared" ref="E18:K18" si="4">SUM(E3+E17)</f>
        <v>141167.6</v>
      </c>
      <c r="F18" s="466">
        <f t="shared" si="4"/>
        <v>0</v>
      </c>
      <c r="G18" s="466">
        <f t="shared" si="4"/>
        <v>0</v>
      </c>
      <c r="H18" s="466">
        <f t="shared" si="4"/>
        <v>0</v>
      </c>
      <c r="I18" s="466">
        <f t="shared" si="4"/>
        <v>0</v>
      </c>
      <c r="J18" s="466">
        <f t="shared" si="4"/>
        <v>0</v>
      </c>
      <c r="K18" s="466">
        <f t="shared" si="4"/>
        <v>0</v>
      </c>
      <c r="L18" s="784">
        <f t="shared" si="0"/>
        <v>141167.6</v>
      </c>
      <c r="O18" s="951"/>
      <c r="P18" s="909"/>
      <c r="Q18" s="769"/>
      <c r="R18" s="887"/>
      <c r="S18" s="887"/>
      <c r="T18" s="882"/>
      <c r="U18" s="870"/>
      <c r="V18" s="870"/>
      <c r="W18" s="870"/>
      <c r="X18" s="870"/>
      <c r="Y18" s="870"/>
      <c r="Z18" s="870"/>
      <c r="AA18" s="870"/>
      <c r="AB18" s="870"/>
      <c r="AC18" s="870"/>
      <c r="AD18" s="870"/>
      <c r="AE18" s="870"/>
    </row>
    <row r="19" spans="1:31" ht="18.75" customHeight="1" x14ac:dyDescent="0.3">
      <c r="A19" s="741"/>
      <c r="B19" s="479"/>
      <c r="C19" s="479"/>
      <c r="D19" s="471" t="s">
        <v>215</v>
      </c>
      <c r="E19" s="472">
        <f t="shared" ref="E19:K19" si="5">SUM(E4-E17)</f>
        <v>1558832.4</v>
      </c>
      <c r="F19" s="472">
        <f t="shared" si="5"/>
        <v>150000</v>
      </c>
      <c r="G19" s="472">
        <f t="shared" si="5"/>
        <v>0</v>
      </c>
      <c r="H19" s="472">
        <f t="shared" si="5"/>
        <v>0</v>
      </c>
      <c r="I19" s="472">
        <f t="shared" si="5"/>
        <v>2055000</v>
      </c>
      <c r="J19" s="472">
        <f t="shared" si="5"/>
        <v>32500</v>
      </c>
      <c r="K19" s="472">
        <f t="shared" si="5"/>
        <v>70000</v>
      </c>
      <c r="L19" s="785">
        <f t="shared" si="0"/>
        <v>3866332.4</v>
      </c>
      <c r="O19" s="951"/>
      <c r="P19" s="909"/>
      <c r="Q19" s="769"/>
      <c r="R19" s="887"/>
      <c r="S19" s="887"/>
      <c r="T19" s="882"/>
      <c r="U19" s="870"/>
      <c r="V19" s="883"/>
      <c r="W19" s="883"/>
      <c r="X19" s="883"/>
      <c r="Y19" s="883"/>
      <c r="Z19" s="883"/>
      <c r="AA19" s="883"/>
      <c r="AB19" s="883"/>
      <c r="AC19" s="883"/>
      <c r="AD19" s="883"/>
      <c r="AE19" s="883"/>
    </row>
    <row r="20" spans="1:31" ht="18.75" customHeight="1" x14ac:dyDescent="0.3">
      <c r="A20" s="1035" t="s">
        <v>216</v>
      </c>
      <c r="B20" s="42"/>
      <c r="C20" s="955"/>
      <c r="D20" s="41"/>
      <c r="E20" s="684"/>
      <c r="F20" s="37"/>
      <c r="G20" s="684"/>
      <c r="H20" s="37"/>
      <c r="I20" s="684"/>
      <c r="J20" s="37"/>
      <c r="K20" s="684"/>
      <c r="L20" s="1036">
        <f t="shared" si="0"/>
        <v>0</v>
      </c>
      <c r="O20" s="873"/>
      <c r="P20" s="764"/>
      <c r="Q20" s="769">
        <f t="shared" ref="Q20:Q26" si="6">L20-O20-P20</f>
        <v>0</v>
      </c>
      <c r="R20" s="870"/>
      <c r="S20" s="870"/>
      <c r="T20" s="882"/>
      <c r="U20" s="870"/>
      <c r="V20" s="870"/>
      <c r="W20" s="870"/>
      <c r="X20" s="870"/>
      <c r="Y20" s="870"/>
      <c r="Z20" s="870"/>
      <c r="AA20" s="870"/>
      <c r="AB20" s="870"/>
      <c r="AC20" s="870"/>
      <c r="AD20" s="870"/>
      <c r="AE20" s="870"/>
    </row>
    <row r="21" spans="1:31" ht="37.5" x14ac:dyDescent="0.3">
      <c r="A21" s="957">
        <v>45603</v>
      </c>
      <c r="B21" s="42" t="s">
        <v>1604</v>
      </c>
      <c r="C21" s="955" t="s">
        <v>1321</v>
      </c>
      <c r="D21" s="34" t="s">
        <v>1605</v>
      </c>
      <c r="E21" s="684"/>
      <c r="F21" s="37"/>
      <c r="G21" s="684"/>
      <c r="H21" s="37"/>
      <c r="I21" s="684"/>
      <c r="J21" s="37"/>
      <c r="K21" s="684">
        <v>9900</v>
      </c>
      <c r="L21" s="807">
        <f t="shared" si="0"/>
        <v>9900</v>
      </c>
      <c r="M21" s="1147" t="s">
        <v>1630</v>
      </c>
      <c r="N21" s="1148" t="s">
        <v>1631</v>
      </c>
      <c r="O21" s="1149">
        <v>1645</v>
      </c>
      <c r="P21" s="764"/>
      <c r="Q21" s="769">
        <f t="shared" si="6"/>
        <v>8255</v>
      </c>
      <c r="R21" s="870"/>
      <c r="S21" s="870"/>
      <c r="T21" s="882"/>
      <c r="U21" s="870"/>
      <c r="V21" s="870"/>
      <c r="W21" s="870"/>
      <c r="X21" s="870"/>
      <c r="Y21" s="870"/>
      <c r="Z21" s="870"/>
      <c r="AA21" s="870"/>
      <c r="AB21" s="870"/>
      <c r="AC21" s="870"/>
      <c r="AD21" s="870"/>
      <c r="AE21" s="870"/>
    </row>
    <row r="22" spans="1:31" ht="56.25" x14ac:dyDescent="0.3">
      <c r="A22" s="957">
        <v>45615</v>
      </c>
      <c r="B22" s="42" t="s">
        <v>1606</v>
      </c>
      <c r="C22" s="955" t="s">
        <v>1321</v>
      </c>
      <c r="D22" s="41" t="s">
        <v>1607</v>
      </c>
      <c r="E22" s="684">
        <v>36850.800000000003</v>
      </c>
      <c r="F22" s="37"/>
      <c r="G22" s="684"/>
      <c r="H22" s="37"/>
      <c r="I22" s="684"/>
      <c r="J22" s="37"/>
      <c r="K22" s="684"/>
      <c r="L22" s="807">
        <f t="shared" si="0"/>
        <v>36850.800000000003</v>
      </c>
      <c r="M22" s="1147" t="s">
        <v>1851</v>
      </c>
      <c r="N22" s="1148" t="s">
        <v>1852</v>
      </c>
      <c r="O22" s="873">
        <f>6141.8+6141.8+6141.8</f>
        <v>18425.400000000001</v>
      </c>
      <c r="P22" s="764"/>
      <c r="Q22" s="769">
        <f t="shared" si="6"/>
        <v>18425.400000000001</v>
      </c>
      <c r="R22" s="870"/>
      <c r="S22" s="870"/>
      <c r="T22" s="882"/>
      <c r="U22" s="870"/>
      <c r="V22" s="870"/>
      <c r="W22" s="870"/>
      <c r="X22" s="870"/>
      <c r="Y22" s="870"/>
      <c r="Z22" s="870"/>
      <c r="AA22" s="870"/>
      <c r="AB22" s="870"/>
      <c r="AC22" s="870"/>
      <c r="AD22" s="870"/>
      <c r="AE22" s="870"/>
    </row>
    <row r="23" spans="1:31" ht="37.5" x14ac:dyDescent="0.3">
      <c r="A23" s="957">
        <v>45623</v>
      </c>
      <c r="B23" s="42" t="s">
        <v>1608</v>
      </c>
      <c r="C23" s="955" t="s">
        <v>1609</v>
      </c>
      <c r="D23" s="34" t="s">
        <v>1610</v>
      </c>
      <c r="E23" s="684">
        <v>359520</v>
      </c>
      <c r="F23" s="37"/>
      <c r="G23" s="684"/>
      <c r="H23" s="37"/>
      <c r="I23" s="684"/>
      <c r="J23" s="37"/>
      <c r="K23" s="684"/>
      <c r="L23" s="807">
        <f t="shared" si="0"/>
        <v>359520</v>
      </c>
      <c r="M23" s="1147" t="s">
        <v>1856</v>
      </c>
      <c r="N23" s="1148" t="s">
        <v>1857</v>
      </c>
      <c r="O23" s="873">
        <f>35952+35952</f>
        <v>71904</v>
      </c>
      <c r="P23" s="765"/>
      <c r="Q23" s="769">
        <f t="shared" si="6"/>
        <v>287616</v>
      </c>
      <c r="R23" s="870"/>
      <c r="S23" s="870"/>
      <c r="T23" s="882"/>
      <c r="U23" s="870"/>
      <c r="V23" s="870"/>
      <c r="W23" s="870"/>
      <c r="X23" s="870"/>
      <c r="Y23" s="870"/>
      <c r="Z23" s="870"/>
      <c r="AA23" s="870"/>
      <c r="AB23" s="870"/>
      <c r="AC23" s="870"/>
      <c r="AD23" s="870"/>
      <c r="AE23" s="870"/>
    </row>
    <row r="24" spans="1:31" ht="18.75" customHeight="1" x14ac:dyDescent="0.3">
      <c r="A24" s="957">
        <v>45624</v>
      </c>
      <c r="B24" s="42" t="s">
        <v>1611</v>
      </c>
      <c r="C24" s="955" t="s">
        <v>1321</v>
      </c>
      <c r="D24" s="34" t="s">
        <v>1612</v>
      </c>
      <c r="E24" s="684">
        <v>2568</v>
      </c>
      <c r="F24" s="37"/>
      <c r="G24" s="684"/>
      <c r="H24" s="37"/>
      <c r="I24" s="684"/>
      <c r="J24" s="37"/>
      <c r="K24" s="684"/>
      <c r="L24" s="807">
        <f t="shared" si="0"/>
        <v>2568</v>
      </c>
      <c r="O24" s="873"/>
      <c r="P24" s="764"/>
      <c r="Q24" s="769">
        <f t="shared" si="6"/>
        <v>2568</v>
      </c>
      <c r="R24" s="870"/>
      <c r="S24" s="870"/>
      <c r="T24" s="882"/>
      <c r="U24" s="870"/>
      <c r="V24" s="870"/>
      <c r="W24" s="870"/>
      <c r="X24" s="870"/>
      <c r="Y24" s="870"/>
      <c r="Z24" s="870"/>
      <c r="AA24" s="870"/>
      <c r="AB24" s="870"/>
      <c r="AC24" s="870"/>
      <c r="AD24" s="870"/>
      <c r="AE24" s="870"/>
    </row>
    <row r="25" spans="1:31" ht="18.75" customHeight="1" x14ac:dyDescent="0.3">
      <c r="A25" s="957"/>
      <c r="B25" s="42"/>
      <c r="C25" s="840"/>
      <c r="D25" s="34"/>
      <c r="E25" s="684"/>
      <c r="F25" s="37"/>
      <c r="G25" s="684"/>
      <c r="H25" s="37"/>
      <c r="I25" s="684"/>
      <c r="J25" s="37"/>
      <c r="K25" s="684"/>
      <c r="L25" s="807">
        <f t="shared" si="0"/>
        <v>0</v>
      </c>
      <c r="O25" s="873"/>
      <c r="P25" s="764"/>
      <c r="Q25" s="769">
        <f t="shared" si="6"/>
        <v>0</v>
      </c>
      <c r="R25" s="870"/>
      <c r="S25" s="870"/>
      <c r="T25" s="882"/>
      <c r="U25" s="870"/>
      <c r="V25" s="870"/>
      <c r="W25" s="870"/>
      <c r="X25" s="870"/>
      <c r="Y25" s="870"/>
      <c r="Z25" s="870"/>
      <c r="AA25" s="870"/>
      <c r="AB25" s="870"/>
      <c r="AC25" s="870"/>
      <c r="AD25" s="870"/>
      <c r="AE25" s="870"/>
    </row>
    <row r="26" spans="1:31" ht="18.75" customHeight="1" x14ac:dyDescent="0.3">
      <c r="A26" s="957"/>
      <c r="B26" s="42"/>
      <c r="C26" s="955"/>
      <c r="D26" s="41"/>
      <c r="E26" s="684"/>
      <c r="F26" s="37"/>
      <c r="G26" s="684"/>
      <c r="H26" s="37"/>
      <c r="I26" s="684"/>
      <c r="J26" s="37"/>
      <c r="K26" s="684"/>
      <c r="L26" s="807">
        <f t="shared" si="0"/>
        <v>0</v>
      </c>
      <c r="O26" s="873"/>
      <c r="P26" s="764"/>
      <c r="Q26" s="769">
        <f t="shared" si="6"/>
        <v>0</v>
      </c>
      <c r="R26" s="870"/>
      <c r="S26" s="870"/>
      <c r="T26" s="882"/>
      <c r="U26" s="870"/>
      <c r="V26" s="870"/>
      <c r="W26" s="870"/>
      <c r="X26" s="870"/>
      <c r="Y26" s="870"/>
      <c r="Z26" s="870"/>
      <c r="AA26" s="870"/>
      <c r="AB26" s="870"/>
      <c r="AC26" s="870"/>
      <c r="AD26" s="870"/>
      <c r="AE26" s="870"/>
    </row>
    <row r="27" spans="1:31" ht="18.75" customHeight="1" x14ac:dyDescent="0.3">
      <c r="A27" s="957"/>
      <c r="B27" s="42"/>
      <c r="C27" s="955"/>
      <c r="D27" s="140"/>
      <c r="E27" s="1080"/>
      <c r="F27" s="37"/>
      <c r="G27" s="684"/>
      <c r="H27" s="37"/>
      <c r="I27" s="684"/>
      <c r="J27" s="37"/>
      <c r="K27" s="684"/>
      <c r="L27" s="807">
        <f t="shared" si="0"/>
        <v>0</v>
      </c>
      <c r="O27" s="873"/>
      <c r="P27" s="764"/>
      <c r="Q27" s="769">
        <v>0</v>
      </c>
      <c r="R27" s="870"/>
      <c r="S27" s="870"/>
      <c r="T27" s="882"/>
      <c r="U27" s="870"/>
      <c r="V27" s="870"/>
      <c r="W27" s="870"/>
      <c r="X27" s="870"/>
      <c r="Y27" s="870"/>
      <c r="Z27" s="870"/>
      <c r="AA27" s="870"/>
      <c r="AB27" s="870"/>
      <c r="AC27" s="870"/>
      <c r="AD27" s="870"/>
      <c r="AE27" s="870"/>
    </row>
    <row r="28" spans="1:31" ht="18.75" customHeight="1" x14ac:dyDescent="0.3">
      <c r="A28" s="957"/>
      <c r="B28" s="42"/>
      <c r="C28" s="955"/>
      <c r="D28" s="41"/>
      <c r="E28" s="684"/>
      <c r="F28" s="37"/>
      <c r="G28" s="684"/>
      <c r="H28" s="37"/>
      <c r="I28" s="684"/>
      <c r="J28" s="37"/>
      <c r="K28" s="684"/>
      <c r="L28" s="807">
        <f t="shared" si="0"/>
        <v>0</v>
      </c>
      <c r="O28" s="873"/>
      <c r="P28" s="764"/>
      <c r="Q28" s="769">
        <f t="shared" ref="Q28:Q30" si="7">L28-O28-P28</f>
        <v>0</v>
      </c>
      <c r="R28" s="870"/>
      <c r="S28" s="870"/>
      <c r="T28" s="882"/>
      <c r="U28" s="870"/>
      <c r="V28" s="870"/>
      <c r="W28" s="870"/>
      <c r="X28" s="870"/>
      <c r="Y28" s="870"/>
      <c r="Z28" s="870"/>
      <c r="AA28" s="870"/>
      <c r="AB28" s="870"/>
      <c r="AC28" s="870"/>
      <c r="AD28" s="870"/>
      <c r="AE28" s="870"/>
    </row>
    <row r="29" spans="1:31" ht="18.75" customHeight="1" x14ac:dyDescent="0.3">
      <c r="A29" s="957"/>
      <c r="B29" s="38"/>
      <c r="C29" s="1071"/>
      <c r="D29" s="40"/>
      <c r="E29" s="684"/>
      <c r="F29" s="37"/>
      <c r="G29" s="684"/>
      <c r="H29" s="37"/>
      <c r="I29" s="684"/>
      <c r="J29" s="37"/>
      <c r="K29" s="684"/>
      <c r="L29" s="807">
        <f t="shared" si="0"/>
        <v>0</v>
      </c>
      <c r="O29" s="873"/>
      <c r="P29" s="764"/>
      <c r="Q29" s="769">
        <f t="shared" si="7"/>
        <v>0</v>
      </c>
      <c r="R29" s="870"/>
      <c r="S29" s="870"/>
      <c r="T29" s="882"/>
      <c r="U29" s="870"/>
      <c r="V29" s="870"/>
      <c r="W29" s="870"/>
      <c r="X29" s="870"/>
      <c r="Y29" s="870"/>
      <c r="Z29" s="870"/>
      <c r="AA29" s="870"/>
      <c r="AB29" s="870"/>
      <c r="AC29" s="870"/>
      <c r="AD29" s="870"/>
      <c r="AE29" s="870"/>
    </row>
    <row r="30" spans="1:31" ht="18.75" customHeight="1" x14ac:dyDescent="0.3">
      <c r="A30" s="957"/>
      <c r="B30" s="42"/>
      <c r="C30" s="955"/>
      <c r="D30" s="41"/>
      <c r="E30" s="684"/>
      <c r="F30" s="37"/>
      <c r="G30" s="684"/>
      <c r="H30" s="37"/>
      <c r="I30" s="684"/>
      <c r="J30" s="37"/>
      <c r="K30" s="684"/>
      <c r="L30" s="807">
        <f t="shared" si="0"/>
        <v>0</v>
      </c>
      <c r="O30" s="873"/>
      <c r="P30" s="764"/>
      <c r="Q30" s="769">
        <f t="shared" si="7"/>
        <v>0</v>
      </c>
      <c r="R30" s="870"/>
      <c r="S30" s="870"/>
      <c r="T30" s="882"/>
      <c r="U30" s="883"/>
      <c r="V30" s="883"/>
      <c r="W30" s="883"/>
      <c r="X30" s="883"/>
      <c r="Y30" s="883"/>
      <c r="Z30" s="883"/>
      <c r="AA30" s="883"/>
      <c r="AB30" s="883"/>
      <c r="AC30" s="883"/>
      <c r="AD30" s="883"/>
      <c r="AE30" s="883"/>
    </row>
    <row r="31" spans="1:31" ht="18.75" customHeight="1" x14ac:dyDescent="0.3">
      <c r="A31" s="742"/>
      <c r="B31" s="482"/>
      <c r="C31" s="482"/>
      <c r="D31" s="149" t="s">
        <v>217</v>
      </c>
      <c r="E31" s="150">
        <f t="shared" ref="E31:K31" si="8">SUM(E20:E30)</f>
        <v>398938.8</v>
      </c>
      <c r="F31" s="150">
        <f t="shared" si="8"/>
        <v>0</v>
      </c>
      <c r="G31" s="150">
        <f t="shared" si="8"/>
        <v>0</v>
      </c>
      <c r="H31" s="150">
        <f t="shared" si="8"/>
        <v>0</v>
      </c>
      <c r="I31" s="150">
        <f t="shared" si="8"/>
        <v>0</v>
      </c>
      <c r="J31" s="150">
        <f t="shared" si="8"/>
        <v>0</v>
      </c>
      <c r="K31" s="150">
        <f t="shared" si="8"/>
        <v>9900</v>
      </c>
      <c r="L31" s="786">
        <f t="shared" si="0"/>
        <v>408838.8</v>
      </c>
      <c r="O31" s="951"/>
      <c r="P31" s="765"/>
      <c r="Q31" s="769">
        <v>0</v>
      </c>
      <c r="R31" s="55"/>
      <c r="S31" s="55"/>
      <c r="T31" s="395"/>
      <c r="U31" s="37"/>
      <c r="V31" s="37"/>
      <c r="W31" s="37"/>
      <c r="X31" s="476"/>
      <c r="Y31" s="476"/>
      <c r="Z31" s="476"/>
      <c r="AA31" s="476"/>
      <c r="AB31" s="476"/>
      <c r="AC31" s="476"/>
      <c r="AD31" s="476"/>
      <c r="AE31" s="476"/>
    </row>
    <row r="32" spans="1:31" ht="18.75" customHeight="1" x14ac:dyDescent="0.3">
      <c r="A32" s="742"/>
      <c r="B32" s="482"/>
      <c r="C32" s="482"/>
      <c r="D32" s="149" t="s">
        <v>218</v>
      </c>
      <c r="E32" s="150">
        <f t="shared" ref="E32:K32" si="9">SUM(E18+E31)</f>
        <v>540106.4</v>
      </c>
      <c r="F32" s="150">
        <f t="shared" si="9"/>
        <v>0</v>
      </c>
      <c r="G32" s="150">
        <f t="shared" si="9"/>
        <v>0</v>
      </c>
      <c r="H32" s="150">
        <f t="shared" si="9"/>
        <v>0</v>
      </c>
      <c r="I32" s="150">
        <f t="shared" si="9"/>
        <v>0</v>
      </c>
      <c r="J32" s="150">
        <f t="shared" si="9"/>
        <v>0</v>
      </c>
      <c r="K32" s="150">
        <f t="shared" si="9"/>
        <v>9900</v>
      </c>
      <c r="L32" s="786">
        <f t="shared" si="0"/>
        <v>550006.4</v>
      </c>
      <c r="O32" s="951"/>
      <c r="P32" s="765"/>
      <c r="Q32" s="769">
        <v>0</v>
      </c>
      <c r="R32" s="55"/>
      <c r="S32" s="55"/>
      <c r="T32" s="395"/>
      <c r="U32" s="37"/>
      <c r="V32" s="37"/>
      <c r="W32" s="37"/>
      <c r="X32" s="476"/>
      <c r="Y32" s="476"/>
      <c r="Z32" s="476"/>
      <c r="AA32" s="476"/>
      <c r="AB32" s="476"/>
      <c r="AC32" s="476"/>
      <c r="AD32" s="476"/>
      <c r="AE32" s="476"/>
    </row>
    <row r="33" spans="1:31" ht="18.75" customHeight="1" x14ac:dyDescent="0.3">
      <c r="A33" s="743"/>
      <c r="B33" s="484"/>
      <c r="C33" s="484"/>
      <c r="D33" s="152" t="s">
        <v>219</v>
      </c>
      <c r="E33" s="153">
        <f t="shared" ref="E33:K33" si="10">SUM(E19-E31)</f>
        <v>1159893.5999999999</v>
      </c>
      <c r="F33" s="153">
        <f t="shared" si="10"/>
        <v>150000</v>
      </c>
      <c r="G33" s="153">
        <f t="shared" si="10"/>
        <v>0</v>
      </c>
      <c r="H33" s="153">
        <f t="shared" si="10"/>
        <v>0</v>
      </c>
      <c r="I33" s="153">
        <f t="shared" si="10"/>
        <v>2055000</v>
      </c>
      <c r="J33" s="153">
        <f t="shared" si="10"/>
        <v>32500</v>
      </c>
      <c r="K33" s="153">
        <f t="shared" si="10"/>
        <v>60100</v>
      </c>
      <c r="L33" s="787">
        <f t="shared" si="0"/>
        <v>3457493.5999999996</v>
      </c>
      <c r="O33" s="951"/>
      <c r="P33" s="765"/>
      <c r="Q33" s="769">
        <v>0</v>
      </c>
      <c r="R33" s="55"/>
      <c r="S33" s="55"/>
      <c r="T33" s="395"/>
      <c r="U33" s="43"/>
      <c r="V33" s="43"/>
      <c r="W33" s="43"/>
      <c r="X33" s="477"/>
      <c r="Y33" s="477"/>
      <c r="Z33" s="477"/>
      <c r="AA33" s="477"/>
      <c r="AB33" s="477"/>
      <c r="AC33" s="477"/>
      <c r="AD33" s="477"/>
      <c r="AE33" s="477"/>
    </row>
    <row r="34" spans="1:31" ht="18.75" customHeight="1" x14ac:dyDescent="0.3">
      <c r="A34" s="1035" t="s">
        <v>220</v>
      </c>
      <c r="B34" s="42"/>
      <c r="C34" s="955"/>
      <c r="D34" s="41"/>
      <c r="E34" s="684"/>
      <c r="F34" s="37"/>
      <c r="G34" s="684"/>
      <c r="H34" s="37"/>
      <c r="I34" s="684"/>
      <c r="J34" s="37"/>
      <c r="K34" s="684"/>
      <c r="L34" s="1036">
        <f t="shared" si="0"/>
        <v>0</v>
      </c>
      <c r="O34" s="873"/>
      <c r="P34" s="764"/>
      <c r="Q34" s="769">
        <f t="shared" ref="Q34:Q40" si="11">L34-O34-P34</f>
        <v>0</v>
      </c>
      <c r="R34" s="37"/>
      <c r="S34" s="37"/>
      <c r="T34" s="486"/>
      <c r="U34" s="409"/>
      <c r="V34" s="409"/>
      <c r="W34" s="409"/>
      <c r="X34" s="487"/>
      <c r="Y34" s="487"/>
      <c r="Z34" s="487"/>
      <c r="AA34" s="487"/>
      <c r="AB34" s="487"/>
      <c r="AC34" s="487"/>
      <c r="AD34" s="487"/>
      <c r="AE34" s="487"/>
    </row>
    <row r="35" spans="1:31" ht="37.5" x14ac:dyDescent="0.3">
      <c r="A35" s="957">
        <v>45629</v>
      </c>
      <c r="B35" s="42" t="s">
        <v>1653</v>
      </c>
      <c r="C35" s="955" t="s">
        <v>1321</v>
      </c>
      <c r="D35" s="34" t="s">
        <v>1652</v>
      </c>
      <c r="E35" s="684">
        <v>2970</v>
      </c>
      <c r="F35" s="37"/>
      <c r="G35" s="684"/>
      <c r="H35" s="37"/>
      <c r="I35" s="684"/>
      <c r="J35" s="37"/>
      <c r="K35" s="684"/>
      <c r="L35" s="807">
        <f t="shared" si="0"/>
        <v>2970</v>
      </c>
      <c r="M35" s="952">
        <v>45646</v>
      </c>
      <c r="N35" s="953" t="s">
        <v>1863</v>
      </c>
      <c r="O35" s="873">
        <v>2559</v>
      </c>
      <c r="P35" s="764"/>
      <c r="Q35" s="769">
        <f t="shared" si="11"/>
        <v>411</v>
      </c>
      <c r="R35" s="870"/>
      <c r="S35" s="870"/>
      <c r="T35" s="882"/>
      <c r="U35" s="870"/>
      <c r="V35" s="870"/>
      <c r="W35" s="870"/>
      <c r="X35" s="870"/>
      <c r="Y35" s="870"/>
      <c r="Z35" s="870"/>
      <c r="AA35" s="870"/>
      <c r="AB35" s="870"/>
      <c r="AC35" s="870"/>
      <c r="AD35" s="870"/>
      <c r="AE35" s="870"/>
    </row>
    <row r="36" spans="1:31" ht="37.5" x14ac:dyDescent="0.3">
      <c r="A36" s="957">
        <v>45630</v>
      </c>
      <c r="B36" s="42" t="s">
        <v>1670</v>
      </c>
      <c r="C36" s="955" t="s">
        <v>1315</v>
      </c>
      <c r="D36" s="34" t="s">
        <v>1669</v>
      </c>
      <c r="E36" s="684">
        <v>1377</v>
      </c>
      <c r="F36" s="37"/>
      <c r="G36" s="684"/>
      <c r="H36" s="37"/>
      <c r="I36" s="684"/>
      <c r="J36" s="37"/>
      <c r="K36" s="684"/>
      <c r="L36" s="807">
        <f t="shared" si="0"/>
        <v>1377</v>
      </c>
      <c r="M36" s="952">
        <v>45642</v>
      </c>
      <c r="N36" s="953" t="s">
        <v>1672</v>
      </c>
      <c r="O36" s="873">
        <v>1030.4100000000001</v>
      </c>
      <c r="P36" s="764"/>
      <c r="Q36" s="769">
        <f t="shared" si="11"/>
        <v>346.58999999999992</v>
      </c>
      <c r="R36" s="870"/>
      <c r="S36" s="870"/>
      <c r="T36" s="882"/>
      <c r="U36" s="870"/>
      <c r="V36" s="870"/>
      <c r="W36" s="870"/>
      <c r="X36" s="870"/>
      <c r="Y36" s="870"/>
      <c r="Z36" s="870"/>
      <c r="AA36" s="870"/>
      <c r="AB36" s="870"/>
      <c r="AC36" s="870"/>
      <c r="AD36" s="870"/>
      <c r="AE36" s="870"/>
    </row>
    <row r="37" spans="1:31" ht="37.5" x14ac:dyDescent="0.3">
      <c r="A37" s="957">
        <v>45630</v>
      </c>
      <c r="B37" s="42" t="s">
        <v>1671</v>
      </c>
      <c r="C37" s="955" t="s">
        <v>1321</v>
      </c>
      <c r="D37" s="34" t="s">
        <v>1668</v>
      </c>
      <c r="E37" s="684">
        <v>4364.1099999999997</v>
      </c>
      <c r="F37" s="37"/>
      <c r="G37" s="684"/>
      <c r="H37" s="37"/>
      <c r="I37" s="684"/>
      <c r="J37" s="37"/>
      <c r="K37" s="684"/>
      <c r="L37" s="807">
        <f t="shared" si="0"/>
        <v>4364.1099999999997</v>
      </c>
      <c r="M37" s="952">
        <v>46011</v>
      </c>
      <c r="N37" s="953" t="s">
        <v>1870</v>
      </c>
      <c r="O37" s="873">
        <v>3787.8</v>
      </c>
      <c r="P37" s="765"/>
      <c r="Q37" s="769">
        <f t="shared" si="11"/>
        <v>576.30999999999949</v>
      </c>
      <c r="R37" s="870"/>
      <c r="S37" s="870"/>
      <c r="T37" s="882"/>
      <c r="U37" s="870"/>
      <c r="V37" s="870"/>
      <c r="W37" s="870"/>
      <c r="X37" s="870"/>
      <c r="Y37" s="870"/>
      <c r="Z37" s="870"/>
      <c r="AA37" s="870"/>
      <c r="AB37" s="870"/>
      <c r="AC37" s="870"/>
      <c r="AD37" s="870"/>
      <c r="AE37" s="870"/>
    </row>
    <row r="38" spans="1:31" ht="18.75" customHeight="1" x14ac:dyDescent="0.3">
      <c r="A38" s="957">
        <v>45639</v>
      </c>
      <c r="B38" s="42" t="s">
        <v>1696</v>
      </c>
      <c r="C38" s="955" t="s">
        <v>1315</v>
      </c>
      <c r="D38" s="34" t="s">
        <v>1694</v>
      </c>
      <c r="E38" s="684">
        <v>3180</v>
      </c>
      <c r="F38" s="37"/>
      <c r="G38" s="684"/>
      <c r="H38" s="37"/>
      <c r="I38" s="684"/>
      <c r="J38" s="37"/>
      <c r="K38" s="684"/>
      <c r="L38" s="807">
        <f t="shared" si="0"/>
        <v>3180</v>
      </c>
      <c r="M38" s="952">
        <v>45645</v>
      </c>
      <c r="N38" s="953" t="s">
        <v>1698</v>
      </c>
      <c r="O38" s="873">
        <v>3180</v>
      </c>
      <c r="P38" s="764"/>
      <c r="Q38" s="769">
        <f t="shared" si="11"/>
        <v>0</v>
      </c>
      <c r="R38" s="870"/>
      <c r="S38" s="870"/>
      <c r="T38" s="882"/>
      <c r="U38" s="870"/>
      <c r="V38" s="870"/>
      <c r="W38" s="870"/>
      <c r="X38" s="870"/>
      <c r="Y38" s="870"/>
      <c r="Z38" s="870"/>
      <c r="AA38" s="870"/>
      <c r="AB38" s="870"/>
      <c r="AC38" s="870"/>
      <c r="AD38" s="870"/>
      <c r="AE38" s="870"/>
    </row>
    <row r="39" spans="1:31" ht="18.75" customHeight="1" x14ac:dyDescent="0.3">
      <c r="A39" s="957">
        <v>45639</v>
      </c>
      <c r="B39" s="42" t="s">
        <v>1697</v>
      </c>
      <c r="C39" s="840" t="s">
        <v>1321</v>
      </c>
      <c r="D39" s="34" t="s">
        <v>1695</v>
      </c>
      <c r="E39" s="684">
        <v>71733.87</v>
      </c>
      <c r="F39" s="37"/>
      <c r="G39" s="684"/>
      <c r="H39" s="37"/>
      <c r="I39" s="684"/>
      <c r="J39" s="37"/>
      <c r="K39" s="684"/>
      <c r="L39" s="807">
        <f t="shared" si="0"/>
        <v>71733.87</v>
      </c>
      <c r="M39" s="952">
        <v>45670</v>
      </c>
      <c r="N39" s="953" t="s">
        <v>1876</v>
      </c>
      <c r="O39" s="873">
        <v>71733.87</v>
      </c>
      <c r="P39" s="764"/>
      <c r="Q39" s="769">
        <f t="shared" si="11"/>
        <v>0</v>
      </c>
      <c r="R39" s="870"/>
      <c r="S39" s="870"/>
      <c r="T39" s="882"/>
      <c r="U39" s="870"/>
      <c r="V39" s="870"/>
      <c r="W39" s="870"/>
      <c r="X39" s="870"/>
      <c r="Y39" s="870"/>
      <c r="Z39" s="870"/>
      <c r="AA39" s="870"/>
      <c r="AB39" s="870"/>
      <c r="AC39" s="870"/>
      <c r="AD39" s="870"/>
      <c r="AE39" s="870"/>
    </row>
    <row r="40" spans="1:31" ht="18.75" customHeight="1" x14ac:dyDescent="0.3">
      <c r="A40" s="957">
        <v>45642</v>
      </c>
      <c r="B40" s="42" t="s">
        <v>1710</v>
      </c>
      <c r="C40" s="955" t="s">
        <v>1321</v>
      </c>
      <c r="D40" s="41" t="s">
        <v>1708</v>
      </c>
      <c r="E40" s="684">
        <v>6131.1</v>
      </c>
      <c r="F40" s="37"/>
      <c r="G40" s="684"/>
      <c r="H40" s="37"/>
      <c r="I40" s="684"/>
      <c r="J40" s="37"/>
      <c r="K40" s="684"/>
      <c r="L40" s="807">
        <f t="shared" si="0"/>
        <v>6131.1</v>
      </c>
      <c r="M40" s="952">
        <v>45651</v>
      </c>
      <c r="N40" s="953" t="s">
        <v>1712</v>
      </c>
      <c r="O40" s="873">
        <v>6131.1</v>
      </c>
      <c r="P40" s="764"/>
      <c r="Q40" s="769">
        <f t="shared" si="11"/>
        <v>0</v>
      </c>
      <c r="R40" s="870"/>
      <c r="S40" s="870"/>
      <c r="T40" s="882"/>
      <c r="U40" s="870"/>
      <c r="V40" s="870"/>
      <c r="W40" s="870"/>
      <c r="X40" s="870"/>
      <c r="Y40" s="870"/>
      <c r="Z40" s="870"/>
      <c r="AA40" s="870"/>
      <c r="AB40" s="870"/>
      <c r="AC40" s="870"/>
      <c r="AD40" s="870"/>
      <c r="AE40" s="870"/>
    </row>
    <row r="41" spans="1:31" ht="18.75" customHeight="1" x14ac:dyDescent="0.3">
      <c r="A41" s="957">
        <v>45642</v>
      </c>
      <c r="B41" s="42" t="s">
        <v>1711</v>
      </c>
      <c r="C41" s="955" t="s">
        <v>1315</v>
      </c>
      <c r="D41" s="666" t="s">
        <v>1709</v>
      </c>
      <c r="E41" s="1058">
        <v>4820</v>
      </c>
      <c r="F41" s="667"/>
      <c r="G41" s="1058"/>
      <c r="H41" s="667"/>
      <c r="I41" s="1058"/>
      <c r="J41" s="667"/>
      <c r="K41" s="1058"/>
      <c r="L41" s="807">
        <f t="shared" si="0"/>
        <v>4820</v>
      </c>
      <c r="M41" s="952">
        <v>45645</v>
      </c>
      <c r="N41" s="953" t="s">
        <v>1713</v>
      </c>
      <c r="O41" s="873">
        <v>4820</v>
      </c>
      <c r="P41" s="764"/>
      <c r="Q41" s="769">
        <v>0</v>
      </c>
      <c r="R41" s="870"/>
      <c r="S41" s="870"/>
      <c r="T41" s="882"/>
      <c r="U41" s="870"/>
      <c r="V41" s="870"/>
      <c r="W41" s="870"/>
      <c r="X41" s="870"/>
      <c r="Y41" s="870"/>
      <c r="Z41" s="870"/>
      <c r="AA41" s="870"/>
      <c r="AB41" s="870"/>
      <c r="AC41" s="870"/>
      <c r="AD41" s="870"/>
      <c r="AE41" s="870"/>
    </row>
    <row r="42" spans="1:31" ht="18.75" customHeight="1" x14ac:dyDescent="0.3">
      <c r="A42" s="957">
        <v>45644</v>
      </c>
      <c r="B42" s="42" t="s">
        <v>1727</v>
      </c>
      <c r="C42" s="955" t="s">
        <v>1315</v>
      </c>
      <c r="D42" s="666" t="s">
        <v>1726</v>
      </c>
      <c r="E42" s="1058">
        <v>6045.5</v>
      </c>
      <c r="F42" s="667"/>
      <c r="G42" s="1058"/>
      <c r="H42" s="667"/>
      <c r="I42" s="1058"/>
      <c r="J42" s="667"/>
      <c r="K42" s="1058"/>
      <c r="L42" s="807">
        <f t="shared" si="0"/>
        <v>6045.5</v>
      </c>
      <c r="M42" s="952">
        <v>45677</v>
      </c>
      <c r="N42" s="953" t="s">
        <v>1882</v>
      </c>
      <c r="O42" s="873">
        <v>6045.5</v>
      </c>
      <c r="P42" s="764"/>
      <c r="Q42" s="769">
        <f t="shared" ref="Q42:Q47" si="12">L42-O42-P42</f>
        <v>0</v>
      </c>
      <c r="R42" s="870"/>
      <c r="S42" s="870"/>
      <c r="T42" s="882"/>
      <c r="U42" s="870"/>
      <c r="V42" s="870"/>
      <c r="W42" s="870"/>
      <c r="X42" s="870"/>
      <c r="Y42" s="870"/>
      <c r="Z42" s="870"/>
      <c r="AA42" s="870"/>
      <c r="AB42" s="870"/>
      <c r="AC42" s="870"/>
      <c r="AD42" s="870"/>
      <c r="AE42" s="870"/>
    </row>
    <row r="43" spans="1:31" s="1012" customFormat="1" ht="18.75" customHeight="1" x14ac:dyDescent="0.3">
      <c r="A43" s="957">
        <v>45653</v>
      </c>
      <c r="B43" s="42" t="s">
        <v>1751</v>
      </c>
      <c r="C43" s="955" t="s">
        <v>1321</v>
      </c>
      <c r="D43" s="666" t="s">
        <v>1750</v>
      </c>
      <c r="E43" s="1058">
        <v>59385</v>
      </c>
      <c r="F43" s="667"/>
      <c r="G43" s="1058"/>
      <c r="H43" s="667"/>
      <c r="I43" s="1058"/>
      <c r="J43" s="667"/>
      <c r="K43" s="1058"/>
      <c r="L43" s="807">
        <f t="shared" si="0"/>
        <v>59385</v>
      </c>
      <c r="M43" s="952">
        <v>45672</v>
      </c>
      <c r="N43" s="953" t="s">
        <v>1886</v>
      </c>
      <c r="O43" s="873">
        <v>59385</v>
      </c>
      <c r="P43" s="764"/>
      <c r="Q43" s="769"/>
      <c r="R43" s="870"/>
      <c r="S43" s="870"/>
      <c r="T43" s="882"/>
      <c r="U43" s="870"/>
      <c r="V43" s="870"/>
      <c r="W43" s="870"/>
      <c r="X43" s="870"/>
      <c r="Y43" s="870"/>
      <c r="Z43" s="870"/>
      <c r="AA43" s="870"/>
      <c r="AB43" s="870"/>
      <c r="AC43" s="870"/>
      <c r="AD43" s="870"/>
      <c r="AE43" s="870"/>
    </row>
    <row r="44" spans="1:31" s="1012" customFormat="1" ht="18.75" customHeight="1" x14ac:dyDescent="0.3">
      <c r="A44" s="957"/>
      <c r="B44" s="42"/>
      <c r="C44" s="955"/>
      <c r="D44" s="666"/>
      <c r="E44" s="1058"/>
      <c r="F44" s="667"/>
      <c r="G44" s="1058"/>
      <c r="H44" s="667"/>
      <c r="I44" s="1058"/>
      <c r="J44" s="667"/>
      <c r="K44" s="1058"/>
      <c r="L44" s="807">
        <f t="shared" si="0"/>
        <v>0</v>
      </c>
      <c r="M44" s="952"/>
      <c r="N44" s="953"/>
      <c r="O44" s="873"/>
      <c r="P44" s="764"/>
      <c r="Q44" s="769"/>
      <c r="R44" s="870"/>
      <c r="S44" s="870"/>
      <c r="T44" s="882"/>
      <c r="U44" s="870"/>
      <c r="V44" s="870"/>
      <c r="W44" s="870"/>
      <c r="X44" s="870"/>
      <c r="Y44" s="870"/>
      <c r="Z44" s="870"/>
      <c r="AA44" s="870"/>
      <c r="AB44" s="870"/>
      <c r="AC44" s="870"/>
      <c r="AD44" s="870"/>
      <c r="AE44" s="870"/>
    </row>
    <row r="45" spans="1:31" s="1012" customFormat="1" ht="18.75" customHeight="1" x14ac:dyDescent="0.3">
      <c r="A45" s="957"/>
      <c r="B45" s="42"/>
      <c r="C45" s="955"/>
      <c r="D45" s="666"/>
      <c r="E45" s="1058"/>
      <c r="F45" s="667"/>
      <c r="G45" s="1058"/>
      <c r="H45" s="667"/>
      <c r="I45" s="1058"/>
      <c r="J45" s="667"/>
      <c r="K45" s="1058"/>
      <c r="L45" s="807">
        <f t="shared" si="0"/>
        <v>0</v>
      </c>
      <c r="M45" s="952"/>
      <c r="N45" s="953"/>
      <c r="O45" s="873"/>
      <c r="P45" s="764"/>
      <c r="Q45" s="769"/>
      <c r="R45" s="870"/>
      <c r="S45" s="870"/>
      <c r="T45" s="882"/>
      <c r="U45" s="870"/>
      <c r="V45" s="870"/>
      <c r="W45" s="870"/>
      <c r="X45" s="870"/>
      <c r="Y45" s="870"/>
      <c r="Z45" s="870"/>
      <c r="AA45" s="870"/>
      <c r="AB45" s="870"/>
      <c r="AC45" s="870"/>
      <c r="AD45" s="870"/>
      <c r="AE45" s="870"/>
    </row>
    <row r="46" spans="1:31" ht="18.75" customHeight="1" x14ac:dyDescent="0.3">
      <c r="A46" s="957"/>
      <c r="B46" s="38"/>
      <c r="C46" s="1071"/>
      <c r="D46" s="666"/>
      <c r="E46" s="1058"/>
      <c r="F46" s="667"/>
      <c r="G46" s="1058"/>
      <c r="H46" s="667"/>
      <c r="I46" s="1058"/>
      <c r="J46" s="667"/>
      <c r="K46" s="1058"/>
      <c r="L46" s="807">
        <f t="shared" si="0"/>
        <v>0</v>
      </c>
      <c r="O46" s="873"/>
      <c r="P46" s="764"/>
      <c r="Q46" s="769">
        <f t="shared" si="12"/>
        <v>0</v>
      </c>
      <c r="R46" s="870"/>
      <c r="S46" s="870"/>
      <c r="T46" s="882"/>
      <c r="U46" s="870"/>
      <c r="V46" s="870"/>
      <c r="W46" s="870"/>
      <c r="X46" s="870"/>
      <c r="Y46" s="870"/>
      <c r="Z46" s="870"/>
      <c r="AA46" s="870"/>
      <c r="AB46" s="870"/>
      <c r="AC46" s="870"/>
      <c r="AD46" s="870"/>
      <c r="AE46" s="870"/>
    </row>
    <row r="47" spans="1:31" ht="18.75" customHeight="1" x14ac:dyDescent="0.3">
      <c r="A47" s="957"/>
      <c r="B47" s="42"/>
      <c r="C47" s="955"/>
      <c r="D47" s="41"/>
      <c r="E47" s="684"/>
      <c r="F47" s="37"/>
      <c r="G47" s="684"/>
      <c r="H47" s="37"/>
      <c r="I47" s="684"/>
      <c r="J47" s="37"/>
      <c r="K47" s="684"/>
      <c r="L47" s="807">
        <f t="shared" si="0"/>
        <v>0</v>
      </c>
      <c r="O47" s="873"/>
      <c r="P47" s="764"/>
      <c r="Q47" s="769">
        <f t="shared" si="12"/>
        <v>0</v>
      </c>
      <c r="R47" s="870"/>
      <c r="S47" s="870"/>
      <c r="T47" s="882"/>
      <c r="U47" s="883"/>
      <c r="V47" s="883"/>
      <c r="W47" s="883"/>
      <c r="X47" s="883"/>
      <c r="Y47" s="883"/>
      <c r="Z47" s="883"/>
      <c r="AA47" s="883"/>
      <c r="AB47" s="883"/>
      <c r="AC47" s="883"/>
      <c r="AD47" s="883"/>
      <c r="AE47" s="883"/>
    </row>
    <row r="48" spans="1:31" ht="18.75" customHeight="1" x14ac:dyDescent="0.3">
      <c r="A48" s="742"/>
      <c r="B48" s="482"/>
      <c r="C48" s="482"/>
      <c r="D48" s="149" t="s">
        <v>221</v>
      </c>
      <c r="E48" s="150">
        <f t="shared" ref="E48:K48" si="13">SUM(E34:E47)</f>
        <v>160006.58000000002</v>
      </c>
      <c r="F48" s="150">
        <f t="shared" si="13"/>
        <v>0</v>
      </c>
      <c r="G48" s="150">
        <f t="shared" si="13"/>
        <v>0</v>
      </c>
      <c r="H48" s="150">
        <f t="shared" si="13"/>
        <v>0</v>
      </c>
      <c r="I48" s="150">
        <f t="shared" si="13"/>
        <v>0</v>
      </c>
      <c r="J48" s="150">
        <f t="shared" si="13"/>
        <v>0</v>
      </c>
      <c r="K48" s="150">
        <f t="shared" si="13"/>
        <v>0</v>
      </c>
      <c r="L48" s="786">
        <f t="shared" si="0"/>
        <v>160006.58000000002</v>
      </c>
      <c r="O48" s="951"/>
      <c r="P48" s="765"/>
      <c r="Q48" s="769"/>
      <c r="R48" s="55"/>
      <c r="S48" s="55"/>
      <c r="T48" s="395"/>
      <c r="U48" s="43"/>
      <c r="V48" s="43"/>
      <c r="W48" s="43"/>
      <c r="X48" s="477"/>
      <c r="Y48" s="477"/>
      <c r="Z48" s="477"/>
      <c r="AA48" s="477"/>
      <c r="AB48" s="477"/>
      <c r="AC48" s="477"/>
      <c r="AD48" s="477"/>
      <c r="AE48" s="477"/>
    </row>
    <row r="49" spans="1:31" ht="18.75" customHeight="1" x14ac:dyDescent="0.3">
      <c r="A49" s="742"/>
      <c r="B49" s="482"/>
      <c r="C49" s="482"/>
      <c r="D49" s="149" t="s">
        <v>222</v>
      </c>
      <c r="E49" s="150">
        <f t="shared" ref="E49:K49" si="14">SUM(E32+E48)</f>
        <v>700112.98</v>
      </c>
      <c r="F49" s="150">
        <f t="shared" si="14"/>
        <v>0</v>
      </c>
      <c r="G49" s="150">
        <f t="shared" si="14"/>
        <v>0</v>
      </c>
      <c r="H49" s="150">
        <f t="shared" si="14"/>
        <v>0</v>
      </c>
      <c r="I49" s="150">
        <f t="shared" si="14"/>
        <v>0</v>
      </c>
      <c r="J49" s="150">
        <f t="shared" si="14"/>
        <v>0</v>
      </c>
      <c r="K49" s="150">
        <f t="shared" si="14"/>
        <v>9900</v>
      </c>
      <c r="L49" s="786">
        <f t="shared" si="0"/>
        <v>710012.98</v>
      </c>
      <c r="O49" s="951"/>
      <c r="P49" s="765"/>
      <c r="Q49" s="769"/>
      <c r="R49" s="55"/>
      <c r="S49" s="55"/>
      <c r="T49" s="395"/>
      <c r="U49" s="37"/>
      <c r="V49" s="488"/>
      <c r="W49" s="488"/>
      <c r="X49" s="489"/>
      <c r="Y49" s="489"/>
      <c r="Z49" s="489"/>
      <c r="AA49" s="489"/>
      <c r="AB49" s="489"/>
      <c r="AC49" s="489"/>
      <c r="AD49" s="489"/>
      <c r="AE49" s="489"/>
    </row>
    <row r="50" spans="1:31" ht="18.75" customHeight="1" x14ac:dyDescent="0.3">
      <c r="A50" s="743"/>
      <c r="B50" s="484"/>
      <c r="C50" s="484"/>
      <c r="D50" s="152" t="s">
        <v>223</v>
      </c>
      <c r="E50" s="153">
        <f t="shared" ref="E50:K50" si="15">SUM(E33-E48)</f>
        <v>999887.01999999979</v>
      </c>
      <c r="F50" s="153">
        <f t="shared" si="15"/>
        <v>150000</v>
      </c>
      <c r="G50" s="153">
        <f t="shared" si="15"/>
        <v>0</v>
      </c>
      <c r="H50" s="153">
        <f t="shared" si="15"/>
        <v>0</v>
      </c>
      <c r="I50" s="153">
        <f t="shared" si="15"/>
        <v>2055000</v>
      </c>
      <c r="J50" s="153">
        <f t="shared" si="15"/>
        <v>32500</v>
      </c>
      <c r="K50" s="153">
        <f t="shared" si="15"/>
        <v>60100</v>
      </c>
      <c r="L50" s="787">
        <f t="shared" si="0"/>
        <v>3297487.0199999996</v>
      </c>
      <c r="O50" s="951"/>
      <c r="P50" s="765"/>
      <c r="Q50" s="769"/>
      <c r="R50" s="55"/>
      <c r="S50" s="55"/>
      <c r="T50" s="395"/>
      <c r="U50" s="37"/>
      <c r="V50" s="37"/>
      <c r="W50" s="37"/>
      <c r="X50" s="476"/>
      <c r="Y50" s="476"/>
      <c r="Z50" s="476"/>
      <c r="AA50" s="476"/>
      <c r="AB50" s="476"/>
      <c r="AC50" s="476"/>
      <c r="AD50" s="476"/>
      <c r="AE50" s="476"/>
    </row>
    <row r="51" spans="1:31" ht="18.75" customHeight="1" x14ac:dyDescent="0.3">
      <c r="A51" s="1035" t="s">
        <v>224</v>
      </c>
      <c r="B51" s="42"/>
      <c r="C51" s="955"/>
      <c r="D51" s="41"/>
      <c r="E51" s="684"/>
      <c r="F51" s="37"/>
      <c r="G51" s="684"/>
      <c r="H51" s="37"/>
      <c r="I51" s="684"/>
      <c r="J51" s="37"/>
      <c r="K51" s="684"/>
      <c r="L51" s="1036">
        <f t="shared" si="0"/>
        <v>0</v>
      </c>
      <c r="O51" s="873"/>
      <c r="P51" s="764"/>
      <c r="Q51" s="769">
        <f t="shared" ref="Q51:Q57" si="16">L51-O51-P51</f>
        <v>0</v>
      </c>
      <c r="R51" s="37"/>
      <c r="S51" s="37"/>
      <c r="T51" s="474"/>
      <c r="U51" s="4"/>
      <c r="V51" s="17"/>
      <c r="W51" s="17"/>
      <c r="X51" s="17"/>
      <c r="Y51" s="17"/>
      <c r="Z51" s="17"/>
      <c r="AA51" s="17"/>
      <c r="AB51" s="17"/>
      <c r="AC51" s="17"/>
      <c r="AD51" s="17"/>
      <c r="AE51" s="17"/>
    </row>
    <row r="52" spans="1:31" ht="18.75" customHeight="1" x14ac:dyDescent="0.3">
      <c r="A52" s="957">
        <v>45663</v>
      </c>
      <c r="B52" s="42" t="s">
        <v>1910</v>
      </c>
      <c r="C52" s="955" t="s">
        <v>1321</v>
      </c>
      <c r="D52" s="34" t="s">
        <v>1909</v>
      </c>
      <c r="E52" s="684">
        <v>1070</v>
      </c>
      <c r="F52" s="37"/>
      <c r="G52" s="684"/>
      <c r="H52" s="37"/>
      <c r="I52" s="684"/>
      <c r="J52" s="37"/>
      <c r="K52" s="684"/>
      <c r="L52" s="807">
        <f t="shared" si="0"/>
        <v>1070</v>
      </c>
      <c r="M52" s="952">
        <v>45681</v>
      </c>
      <c r="N52" s="953" t="s">
        <v>1911</v>
      </c>
      <c r="O52" s="873">
        <v>1070</v>
      </c>
      <c r="P52" s="764"/>
      <c r="Q52" s="769">
        <f t="shared" si="16"/>
        <v>0</v>
      </c>
      <c r="R52" s="870"/>
      <c r="S52" s="870"/>
      <c r="T52" s="882"/>
      <c r="U52" s="870"/>
      <c r="V52" s="870"/>
      <c r="W52" s="870"/>
      <c r="X52" s="870"/>
      <c r="Y52" s="870"/>
      <c r="Z52" s="870"/>
      <c r="AA52" s="870"/>
      <c r="AB52" s="870"/>
      <c r="AC52" s="870"/>
      <c r="AD52" s="870"/>
      <c r="AE52" s="870"/>
    </row>
    <row r="53" spans="1:31" ht="18.75" customHeight="1" x14ac:dyDescent="0.3">
      <c r="A53" s="957">
        <v>45666</v>
      </c>
      <c r="B53" s="42" t="s">
        <v>1942</v>
      </c>
      <c r="C53" s="955" t="s">
        <v>1321</v>
      </c>
      <c r="D53" s="41" t="s">
        <v>1941</v>
      </c>
      <c r="E53" s="684">
        <v>10165</v>
      </c>
      <c r="F53" s="37"/>
      <c r="G53" s="684"/>
      <c r="H53" s="37"/>
      <c r="I53" s="684"/>
      <c r="J53" s="37"/>
      <c r="K53" s="684"/>
      <c r="L53" s="807">
        <f t="shared" si="0"/>
        <v>10165</v>
      </c>
      <c r="M53" s="952">
        <v>45681</v>
      </c>
      <c r="N53" s="953" t="s">
        <v>1943</v>
      </c>
      <c r="O53" s="873">
        <v>10165</v>
      </c>
      <c r="P53" s="764"/>
      <c r="Q53" s="769">
        <f t="shared" si="16"/>
        <v>0</v>
      </c>
      <c r="R53" s="870"/>
      <c r="S53" s="870"/>
      <c r="T53" s="882"/>
      <c r="U53" s="870"/>
      <c r="V53" s="870"/>
      <c r="W53" s="870"/>
      <c r="X53" s="870"/>
      <c r="Y53" s="870"/>
      <c r="Z53" s="870"/>
      <c r="AA53" s="870"/>
      <c r="AB53" s="870"/>
      <c r="AC53" s="870"/>
      <c r="AD53" s="870"/>
      <c r="AE53" s="870"/>
    </row>
    <row r="54" spans="1:31" ht="18.75" customHeight="1" x14ac:dyDescent="0.3">
      <c r="A54" s="957">
        <v>45671</v>
      </c>
      <c r="B54" s="42" t="s">
        <v>1951</v>
      </c>
      <c r="C54" s="955" t="s">
        <v>1949</v>
      </c>
      <c r="D54" s="34" t="s">
        <v>1950</v>
      </c>
      <c r="E54" s="684">
        <v>4815</v>
      </c>
      <c r="F54" s="37"/>
      <c r="G54" s="684"/>
      <c r="H54" s="37"/>
      <c r="I54" s="684"/>
      <c r="J54" s="37"/>
      <c r="K54" s="684"/>
      <c r="L54" s="807">
        <f t="shared" si="0"/>
        <v>4815</v>
      </c>
      <c r="M54" s="952">
        <v>45684</v>
      </c>
      <c r="N54" s="953" t="s">
        <v>1952</v>
      </c>
      <c r="O54" s="873">
        <v>4815</v>
      </c>
      <c r="P54" s="765"/>
      <c r="Q54" s="769">
        <f t="shared" si="16"/>
        <v>0</v>
      </c>
      <c r="R54" s="870"/>
      <c r="S54" s="870"/>
      <c r="T54" s="882"/>
      <c r="U54" s="870"/>
      <c r="V54" s="870"/>
      <c r="W54" s="870"/>
      <c r="X54" s="870"/>
      <c r="Y54" s="870"/>
      <c r="Z54" s="870"/>
      <c r="AA54" s="870"/>
      <c r="AB54" s="870"/>
      <c r="AC54" s="870"/>
      <c r="AD54" s="870"/>
      <c r="AE54" s="870"/>
    </row>
    <row r="55" spans="1:31" ht="40.5" customHeight="1" x14ac:dyDescent="0.3">
      <c r="A55" s="957">
        <v>45677</v>
      </c>
      <c r="B55" s="42" t="s">
        <v>1983</v>
      </c>
      <c r="C55" s="955" t="s">
        <v>1981</v>
      </c>
      <c r="D55" s="34" t="s">
        <v>1982</v>
      </c>
      <c r="E55" s="684"/>
      <c r="F55" s="37">
        <v>180000</v>
      </c>
      <c r="G55" s="684"/>
      <c r="H55" s="37"/>
      <c r="I55" s="684"/>
      <c r="J55" s="37"/>
      <c r="K55" s="684"/>
      <c r="L55" s="807">
        <f t="shared" si="0"/>
        <v>180000</v>
      </c>
      <c r="O55" s="873"/>
      <c r="P55" s="764"/>
      <c r="Q55" s="769">
        <f t="shared" si="16"/>
        <v>180000</v>
      </c>
      <c r="R55" s="870"/>
      <c r="S55" s="870"/>
      <c r="T55" s="882"/>
      <c r="U55" s="870"/>
      <c r="V55" s="870"/>
      <c r="W55" s="870"/>
      <c r="X55" s="870"/>
      <c r="Y55" s="870"/>
      <c r="Z55" s="870"/>
      <c r="AA55" s="870"/>
      <c r="AB55" s="870"/>
      <c r="AC55" s="870"/>
      <c r="AD55" s="870"/>
      <c r="AE55" s="870"/>
    </row>
    <row r="56" spans="1:31" ht="18.75" customHeight="1" x14ac:dyDescent="0.3">
      <c r="A56" s="957">
        <v>45678</v>
      </c>
      <c r="B56" s="42" t="s">
        <v>1986</v>
      </c>
      <c r="C56" s="840" t="s">
        <v>1984</v>
      </c>
      <c r="D56" s="34" t="s">
        <v>1985</v>
      </c>
      <c r="E56" s="684">
        <v>380</v>
      </c>
      <c r="F56" s="37"/>
      <c r="G56" s="684"/>
      <c r="H56" s="37"/>
      <c r="I56" s="684"/>
      <c r="J56" s="37"/>
      <c r="K56" s="684"/>
      <c r="L56" s="807">
        <f t="shared" si="0"/>
        <v>380</v>
      </c>
      <c r="M56" s="952">
        <v>45685</v>
      </c>
      <c r="N56" s="953" t="s">
        <v>1987</v>
      </c>
      <c r="O56" s="873">
        <v>380</v>
      </c>
      <c r="P56" s="764"/>
      <c r="Q56" s="769">
        <f t="shared" si="16"/>
        <v>0</v>
      </c>
      <c r="R56" s="870"/>
      <c r="S56" s="870"/>
      <c r="T56" s="882"/>
      <c r="U56" s="870"/>
      <c r="V56" s="870"/>
      <c r="W56" s="870"/>
      <c r="X56" s="870"/>
      <c r="Y56" s="870"/>
      <c r="Z56" s="870"/>
      <c r="AA56" s="870"/>
      <c r="AB56" s="870"/>
      <c r="AC56" s="870"/>
      <c r="AD56" s="870"/>
      <c r="AE56" s="870"/>
    </row>
    <row r="57" spans="1:31" ht="18.75" customHeight="1" x14ac:dyDescent="0.3">
      <c r="A57" s="957"/>
      <c r="B57" s="42"/>
      <c r="C57" s="955"/>
      <c r="D57" s="41"/>
      <c r="E57" s="684"/>
      <c r="F57" s="37"/>
      <c r="G57" s="684"/>
      <c r="H57" s="37"/>
      <c r="I57" s="684"/>
      <c r="J57" s="37"/>
      <c r="K57" s="684"/>
      <c r="L57" s="807">
        <f t="shared" si="0"/>
        <v>0</v>
      </c>
      <c r="O57" s="873"/>
      <c r="P57" s="764"/>
      <c r="Q57" s="769">
        <f t="shared" si="16"/>
        <v>0</v>
      </c>
      <c r="R57" s="870"/>
      <c r="S57" s="870"/>
      <c r="T57" s="882"/>
      <c r="U57" s="870"/>
      <c r="V57" s="870"/>
      <c r="W57" s="870"/>
      <c r="X57" s="870"/>
      <c r="Y57" s="870"/>
      <c r="Z57" s="870"/>
      <c r="AA57" s="870"/>
      <c r="AB57" s="870"/>
      <c r="AC57" s="870"/>
      <c r="AD57" s="870"/>
      <c r="AE57" s="870"/>
    </row>
    <row r="58" spans="1:31" ht="18.75" customHeight="1" x14ac:dyDescent="0.3">
      <c r="A58" s="957"/>
      <c r="B58" s="42"/>
      <c r="C58" s="955"/>
      <c r="D58" s="140"/>
      <c r="E58" s="1080"/>
      <c r="F58" s="37"/>
      <c r="G58" s="684"/>
      <c r="H58" s="37"/>
      <c r="I58" s="684"/>
      <c r="J58" s="37"/>
      <c r="K58" s="684"/>
      <c r="L58" s="807">
        <f t="shared" si="0"/>
        <v>0</v>
      </c>
      <c r="O58" s="873"/>
      <c r="P58" s="764"/>
      <c r="Q58" s="769">
        <v>0</v>
      </c>
      <c r="R58" s="870"/>
      <c r="S58" s="870"/>
      <c r="T58" s="882"/>
      <c r="U58" s="870"/>
      <c r="V58" s="870"/>
      <c r="W58" s="870"/>
      <c r="X58" s="870"/>
      <c r="Y58" s="870"/>
      <c r="Z58" s="870"/>
      <c r="AA58" s="870"/>
      <c r="AB58" s="870"/>
      <c r="AC58" s="870"/>
      <c r="AD58" s="870"/>
      <c r="AE58" s="870"/>
    </row>
    <row r="59" spans="1:31" ht="18.75" customHeight="1" x14ac:dyDescent="0.3">
      <c r="A59" s="957"/>
      <c r="B59" s="42"/>
      <c r="C59" s="955"/>
      <c r="D59" s="41"/>
      <c r="E59" s="684"/>
      <c r="F59" s="37"/>
      <c r="G59" s="684"/>
      <c r="H59" s="37"/>
      <c r="I59" s="684"/>
      <c r="J59" s="37"/>
      <c r="K59" s="684"/>
      <c r="L59" s="807">
        <f t="shared" si="0"/>
        <v>0</v>
      </c>
      <c r="O59" s="873"/>
      <c r="P59" s="764"/>
      <c r="Q59" s="769">
        <f t="shared" ref="Q59:Q61" si="17">L59-O59-P59</f>
        <v>0</v>
      </c>
      <c r="R59" s="870"/>
      <c r="S59" s="870"/>
      <c r="T59" s="882"/>
      <c r="U59" s="870"/>
      <c r="V59" s="870"/>
      <c r="W59" s="870"/>
      <c r="X59" s="870"/>
      <c r="Y59" s="870"/>
      <c r="Z59" s="870"/>
      <c r="AA59" s="870"/>
      <c r="AB59" s="870"/>
      <c r="AC59" s="870"/>
      <c r="AD59" s="870"/>
      <c r="AE59" s="870"/>
    </row>
    <row r="60" spans="1:31" ht="18.75" customHeight="1" x14ac:dyDescent="0.3">
      <c r="A60" s="957"/>
      <c r="B60" s="38"/>
      <c r="C60" s="1071"/>
      <c r="D60" s="40"/>
      <c r="E60" s="684"/>
      <c r="F60" s="37"/>
      <c r="G60" s="684"/>
      <c r="H60" s="37"/>
      <c r="I60" s="684"/>
      <c r="J60" s="37"/>
      <c r="K60" s="684"/>
      <c r="L60" s="807">
        <f t="shared" si="0"/>
        <v>0</v>
      </c>
      <c r="O60" s="873"/>
      <c r="P60" s="764"/>
      <c r="Q60" s="769">
        <f t="shared" si="17"/>
        <v>0</v>
      </c>
      <c r="R60" s="870"/>
      <c r="S60" s="870"/>
      <c r="T60" s="882"/>
      <c r="U60" s="870"/>
      <c r="V60" s="870"/>
      <c r="W60" s="870"/>
      <c r="X60" s="870"/>
      <c r="Y60" s="870"/>
      <c r="Z60" s="870"/>
      <c r="AA60" s="870"/>
      <c r="AB60" s="870"/>
      <c r="AC60" s="870"/>
      <c r="AD60" s="870"/>
      <c r="AE60" s="870"/>
    </row>
    <row r="61" spans="1:31" ht="18.75" customHeight="1" x14ac:dyDescent="0.3">
      <c r="A61" s="957"/>
      <c r="B61" s="42"/>
      <c r="C61" s="955"/>
      <c r="D61" s="41"/>
      <c r="E61" s="684"/>
      <c r="F61" s="37"/>
      <c r="G61" s="684"/>
      <c r="H61" s="37"/>
      <c r="I61" s="684"/>
      <c r="J61" s="37"/>
      <c r="K61" s="684"/>
      <c r="L61" s="807">
        <f t="shared" si="0"/>
        <v>0</v>
      </c>
      <c r="O61" s="873"/>
      <c r="P61" s="764"/>
      <c r="Q61" s="769">
        <f t="shared" si="17"/>
        <v>0</v>
      </c>
      <c r="R61" s="870"/>
      <c r="S61" s="870"/>
      <c r="T61" s="882"/>
      <c r="U61" s="883"/>
      <c r="V61" s="883"/>
      <c r="W61" s="883"/>
      <c r="X61" s="883"/>
      <c r="Y61" s="883"/>
      <c r="Z61" s="883"/>
      <c r="AA61" s="883"/>
      <c r="AB61" s="883"/>
      <c r="AC61" s="883"/>
      <c r="AD61" s="883"/>
      <c r="AE61" s="883"/>
    </row>
    <row r="62" spans="1:31" ht="18.75" customHeight="1" x14ac:dyDescent="0.3">
      <c r="A62" s="742"/>
      <c r="B62" s="482"/>
      <c r="C62" s="482"/>
      <c r="D62" s="149" t="s">
        <v>225</v>
      </c>
      <c r="E62" s="150">
        <f t="shared" ref="E62:K62" si="18">SUM(E51:E61)</f>
        <v>16430</v>
      </c>
      <c r="F62" s="150">
        <f t="shared" si="18"/>
        <v>180000</v>
      </c>
      <c r="G62" s="150">
        <f t="shared" si="18"/>
        <v>0</v>
      </c>
      <c r="H62" s="150">
        <f t="shared" si="18"/>
        <v>0</v>
      </c>
      <c r="I62" s="150">
        <f t="shared" si="18"/>
        <v>0</v>
      </c>
      <c r="J62" s="150">
        <f t="shared" si="18"/>
        <v>0</v>
      </c>
      <c r="K62" s="150">
        <f t="shared" si="18"/>
        <v>0</v>
      </c>
      <c r="L62" s="786">
        <f t="shared" si="0"/>
        <v>196430</v>
      </c>
      <c r="O62" s="951"/>
      <c r="P62" s="765"/>
      <c r="Q62" s="769"/>
      <c r="R62" s="55"/>
      <c r="S62" s="55"/>
      <c r="T62" s="395"/>
      <c r="U62" s="37"/>
      <c r="V62" s="37"/>
      <c r="W62" s="37"/>
      <c r="X62" s="476"/>
      <c r="Y62" s="476"/>
      <c r="Z62" s="476"/>
      <c r="AA62" s="476"/>
      <c r="AB62" s="476"/>
      <c r="AC62" s="476"/>
      <c r="AD62" s="476"/>
      <c r="AE62" s="476"/>
    </row>
    <row r="63" spans="1:31" ht="18.75" customHeight="1" x14ac:dyDescent="0.3">
      <c r="A63" s="742"/>
      <c r="B63" s="482"/>
      <c r="C63" s="482"/>
      <c r="D63" s="149" t="s">
        <v>226</v>
      </c>
      <c r="E63" s="150">
        <f t="shared" ref="E63:K63" si="19">SUM(E49+E62)</f>
        <v>716542.98</v>
      </c>
      <c r="F63" s="150">
        <f t="shared" si="19"/>
        <v>180000</v>
      </c>
      <c r="G63" s="150">
        <f t="shared" si="19"/>
        <v>0</v>
      </c>
      <c r="H63" s="150">
        <f t="shared" si="19"/>
        <v>0</v>
      </c>
      <c r="I63" s="150">
        <f t="shared" si="19"/>
        <v>0</v>
      </c>
      <c r="J63" s="150">
        <f t="shared" si="19"/>
        <v>0</v>
      </c>
      <c r="K63" s="150">
        <f t="shared" si="19"/>
        <v>9900</v>
      </c>
      <c r="L63" s="786">
        <f t="shared" si="0"/>
        <v>906442.98</v>
      </c>
      <c r="O63" s="951"/>
      <c r="P63" s="765"/>
      <c r="Q63" s="769"/>
      <c r="R63" s="55"/>
      <c r="S63" s="55"/>
      <c r="T63" s="395"/>
      <c r="U63" s="37"/>
      <c r="V63" s="37"/>
      <c r="W63" s="37"/>
      <c r="X63" s="476"/>
      <c r="Y63" s="476"/>
      <c r="Z63" s="476"/>
      <c r="AA63" s="476"/>
      <c r="AB63" s="476"/>
      <c r="AC63" s="476"/>
      <c r="AD63" s="476"/>
      <c r="AE63" s="476"/>
    </row>
    <row r="64" spans="1:31" ht="18.75" customHeight="1" x14ac:dyDescent="0.3">
      <c r="A64" s="743"/>
      <c r="B64" s="484"/>
      <c r="C64" s="484"/>
      <c r="D64" s="152" t="s">
        <v>227</v>
      </c>
      <c r="E64" s="153">
        <f t="shared" ref="E64:K64" si="20">SUM(E50-E62)</f>
        <v>983457.01999999979</v>
      </c>
      <c r="F64" s="153">
        <f t="shared" si="20"/>
        <v>-30000</v>
      </c>
      <c r="G64" s="153">
        <f t="shared" si="20"/>
        <v>0</v>
      </c>
      <c r="H64" s="153">
        <f t="shared" si="20"/>
        <v>0</v>
      </c>
      <c r="I64" s="153">
        <f t="shared" si="20"/>
        <v>2055000</v>
      </c>
      <c r="J64" s="153">
        <f t="shared" si="20"/>
        <v>32500</v>
      </c>
      <c r="K64" s="153">
        <f t="shared" si="20"/>
        <v>60100</v>
      </c>
      <c r="L64" s="787">
        <f t="shared" si="0"/>
        <v>3101057.0199999996</v>
      </c>
      <c r="O64" s="951"/>
      <c r="P64" s="765"/>
      <c r="Q64" s="769"/>
      <c r="R64" s="55"/>
      <c r="S64" s="55"/>
      <c r="T64" s="395"/>
      <c r="U64" s="37"/>
      <c r="V64" s="37"/>
      <c r="W64" s="37"/>
      <c r="X64" s="476"/>
      <c r="Y64" s="476"/>
      <c r="Z64" s="476"/>
      <c r="AA64" s="476"/>
      <c r="AB64" s="476"/>
      <c r="AC64" s="476"/>
      <c r="AD64" s="476"/>
      <c r="AE64" s="476"/>
    </row>
    <row r="65" spans="1:31" ht="18.75" customHeight="1" x14ac:dyDescent="0.3">
      <c r="A65" s="1035" t="s">
        <v>228</v>
      </c>
      <c r="B65" s="42"/>
      <c r="C65" s="955"/>
      <c r="D65" s="41"/>
      <c r="E65" s="684"/>
      <c r="F65" s="37"/>
      <c r="G65" s="684"/>
      <c r="H65" s="37"/>
      <c r="I65" s="684"/>
      <c r="J65" s="37"/>
      <c r="K65" s="684"/>
      <c r="L65" s="1036">
        <f t="shared" si="0"/>
        <v>0</v>
      </c>
      <c r="O65" s="873"/>
      <c r="P65" s="764"/>
      <c r="Q65" s="769">
        <f t="shared" ref="Q65:Q71" si="21">L65-O65-P65</f>
        <v>0</v>
      </c>
      <c r="R65" s="37"/>
      <c r="S65" s="37"/>
      <c r="T65" s="395"/>
      <c r="U65" s="37"/>
      <c r="V65" s="43"/>
      <c r="W65" s="43"/>
      <c r="X65" s="477"/>
      <c r="Y65" s="477"/>
      <c r="Z65" s="477"/>
      <c r="AA65" s="477"/>
      <c r="AB65" s="477"/>
      <c r="AC65" s="477"/>
      <c r="AD65" s="477"/>
      <c r="AE65" s="477"/>
    </row>
    <row r="66" spans="1:31" ht="18.75" customHeight="1" x14ac:dyDescent="0.3">
      <c r="A66" s="957"/>
      <c r="B66" s="42"/>
      <c r="C66" s="955"/>
      <c r="D66" s="34"/>
      <c r="E66" s="684"/>
      <c r="F66" s="37"/>
      <c r="G66" s="684"/>
      <c r="H66" s="37"/>
      <c r="I66" s="684"/>
      <c r="J66" s="37"/>
      <c r="K66" s="684"/>
      <c r="L66" s="807">
        <f t="shared" si="0"/>
        <v>0</v>
      </c>
      <c r="O66" s="873"/>
      <c r="P66" s="764"/>
      <c r="Q66" s="769">
        <f t="shared" si="21"/>
        <v>0</v>
      </c>
      <c r="R66" s="870"/>
      <c r="S66" s="870"/>
      <c r="T66" s="882"/>
      <c r="U66" s="870"/>
      <c r="V66" s="870"/>
      <c r="W66" s="870"/>
      <c r="X66" s="870"/>
      <c r="Y66" s="870"/>
      <c r="Z66" s="870"/>
      <c r="AA66" s="870"/>
      <c r="AB66" s="870"/>
      <c r="AC66" s="870"/>
      <c r="AD66" s="870"/>
      <c r="AE66" s="870"/>
    </row>
    <row r="67" spans="1:31" ht="18.75" customHeight="1" x14ac:dyDescent="0.3">
      <c r="A67" s="957"/>
      <c r="B67" s="42"/>
      <c r="C67" s="955"/>
      <c r="D67" s="41"/>
      <c r="E67" s="684"/>
      <c r="F67" s="37"/>
      <c r="G67" s="684"/>
      <c r="H67" s="37"/>
      <c r="I67" s="684"/>
      <c r="J67" s="37"/>
      <c r="K67" s="684"/>
      <c r="L67" s="807">
        <f t="shared" si="0"/>
        <v>0</v>
      </c>
      <c r="O67" s="873"/>
      <c r="P67" s="764"/>
      <c r="Q67" s="769">
        <f t="shared" si="21"/>
        <v>0</v>
      </c>
      <c r="R67" s="870"/>
      <c r="S67" s="870"/>
      <c r="T67" s="882"/>
      <c r="U67" s="870"/>
      <c r="V67" s="870"/>
      <c r="W67" s="870"/>
      <c r="X67" s="870"/>
      <c r="Y67" s="870"/>
      <c r="Z67" s="870"/>
      <c r="AA67" s="870"/>
      <c r="AB67" s="870"/>
      <c r="AC67" s="870"/>
      <c r="AD67" s="870"/>
      <c r="AE67" s="870"/>
    </row>
    <row r="68" spans="1:31" ht="18.75" customHeight="1" x14ac:dyDescent="0.3">
      <c r="A68" s="957"/>
      <c r="B68" s="42"/>
      <c r="C68" s="955"/>
      <c r="D68" s="34"/>
      <c r="E68" s="684"/>
      <c r="F68" s="37"/>
      <c r="G68" s="684"/>
      <c r="H68" s="37"/>
      <c r="I68" s="684"/>
      <c r="J68" s="37"/>
      <c r="K68" s="684"/>
      <c r="L68" s="807">
        <f t="shared" si="0"/>
        <v>0</v>
      </c>
      <c r="O68" s="873"/>
      <c r="P68" s="765"/>
      <c r="Q68" s="769">
        <f t="shared" si="21"/>
        <v>0</v>
      </c>
      <c r="R68" s="870"/>
      <c r="S68" s="870"/>
      <c r="T68" s="882"/>
      <c r="U68" s="870"/>
      <c r="V68" s="870"/>
      <c r="W68" s="870"/>
      <c r="X68" s="870"/>
      <c r="Y68" s="870"/>
      <c r="Z68" s="870"/>
      <c r="AA68" s="870"/>
      <c r="AB68" s="870"/>
      <c r="AC68" s="870"/>
      <c r="AD68" s="870"/>
      <c r="AE68" s="870"/>
    </row>
    <row r="69" spans="1:31" ht="18.75" customHeight="1" x14ac:dyDescent="0.3">
      <c r="A69" s="957"/>
      <c r="B69" s="42"/>
      <c r="C69" s="955"/>
      <c r="D69" s="41"/>
      <c r="E69" s="684"/>
      <c r="F69" s="37"/>
      <c r="G69" s="684"/>
      <c r="H69" s="37"/>
      <c r="I69" s="684"/>
      <c r="J69" s="37"/>
      <c r="K69" s="684"/>
      <c r="L69" s="807">
        <f t="shared" si="0"/>
        <v>0</v>
      </c>
      <c r="O69" s="873"/>
      <c r="P69" s="764"/>
      <c r="Q69" s="769">
        <f t="shared" si="21"/>
        <v>0</v>
      </c>
      <c r="R69" s="870"/>
      <c r="S69" s="870"/>
      <c r="T69" s="882"/>
      <c r="U69" s="870"/>
      <c r="V69" s="870"/>
      <c r="W69" s="870"/>
      <c r="X69" s="870"/>
      <c r="Y69" s="870"/>
      <c r="Z69" s="870"/>
      <c r="AA69" s="870"/>
      <c r="AB69" s="870"/>
      <c r="AC69" s="870"/>
      <c r="AD69" s="870"/>
      <c r="AE69" s="870"/>
    </row>
    <row r="70" spans="1:31" ht="18.75" customHeight="1" x14ac:dyDescent="0.3">
      <c r="A70" s="957"/>
      <c r="B70" s="42"/>
      <c r="C70" s="840"/>
      <c r="D70" s="34"/>
      <c r="E70" s="684"/>
      <c r="F70" s="37"/>
      <c r="G70" s="684"/>
      <c r="H70" s="37"/>
      <c r="I70" s="684"/>
      <c r="J70" s="37"/>
      <c r="K70" s="684"/>
      <c r="L70" s="807">
        <f t="shared" si="0"/>
        <v>0</v>
      </c>
      <c r="O70" s="873"/>
      <c r="P70" s="764"/>
      <c r="Q70" s="769">
        <f t="shared" si="21"/>
        <v>0</v>
      </c>
      <c r="R70" s="870"/>
      <c r="S70" s="870"/>
      <c r="T70" s="882"/>
      <c r="U70" s="870"/>
      <c r="V70" s="870"/>
      <c r="W70" s="870"/>
      <c r="X70" s="870"/>
      <c r="Y70" s="870"/>
      <c r="Z70" s="870"/>
      <c r="AA70" s="870"/>
      <c r="AB70" s="870"/>
      <c r="AC70" s="870"/>
      <c r="AD70" s="870"/>
      <c r="AE70" s="870"/>
    </row>
    <row r="71" spans="1:31" ht="18.75" customHeight="1" x14ac:dyDescent="0.3">
      <c r="A71" s="957"/>
      <c r="B71" s="42"/>
      <c r="C71" s="955"/>
      <c r="D71" s="41"/>
      <c r="E71" s="684"/>
      <c r="F71" s="37"/>
      <c r="G71" s="684"/>
      <c r="H71" s="37"/>
      <c r="I71" s="684"/>
      <c r="J71" s="37"/>
      <c r="K71" s="684"/>
      <c r="L71" s="807">
        <f t="shared" si="0"/>
        <v>0</v>
      </c>
      <c r="O71" s="873"/>
      <c r="P71" s="764"/>
      <c r="Q71" s="769">
        <f t="shared" si="21"/>
        <v>0</v>
      </c>
      <c r="R71" s="870"/>
      <c r="S71" s="870"/>
      <c r="T71" s="882"/>
      <c r="U71" s="870"/>
      <c r="V71" s="870"/>
      <c r="W71" s="870"/>
      <c r="X71" s="870"/>
      <c r="Y71" s="870"/>
      <c r="Z71" s="870"/>
      <c r="AA71" s="870"/>
      <c r="AB71" s="870"/>
      <c r="AC71" s="870"/>
      <c r="AD71" s="870"/>
      <c r="AE71" s="870"/>
    </row>
    <row r="72" spans="1:31" ht="18.75" customHeight="1" x14ac:dyDescent="0.3">
      <c r="A72" s="957"/>
      <c r="B72" s="42"/>
      <c r="C72" s="955"/>
      <c r="D72" s="140"/>
      <c r="E72" s="1080"/>
      <c r="F72" s="37"/>
      <c r="G72" s="684"/>
      <c r="H72" s="37"/>
      <c r="I72" s="684"/>
      <c r="J72" s="37"/>
      <c r="K72" s="684"/>
      <c r="L72" s="807">
        <f t="shared" si="0"/>
        <v>0</v>
      </c>
      <c r="O72" s="873"/>
      <c r="P72" s="764"/>
      <c r="Q72" s="769">
        <v>0</v>
      </c>
      <c r="R72" s="870"/>
      <c r="S72" s="870"/>
      <c r="T72" s="882"/>
      <c r="U72" s="870"/>
      <c r="V72" s="870"/>
      <c r="W72" s="870"/>
      <c r="X72" s="870"/>
      <c r="Y72" s="870"/>
      <c r="Z72" s="870"/>
      <c r="AA72" s="870"/>
      <c r="AB72" s="870"/>
      <c r="AC72" s="870"/>
      <c r="AD72" s="870"/>
      <c r="AE72" s="870"/>
    </row>
    <row r="73" spans="1:31" ht="18.75" customHeight="1" x14ac:dyDescent="0.3">
      <c r="A73" s="957"/>
      <c r="B73" s="42"/>
      <c r="C73" s="955"/>
      <c r="D73" s="41"/>
      <c r="E73" s="684"/>
      <c r="F73" s="37"/>
      <c r="G73" s="684"/>
      <c r="H73" s="37"/>
      <c r="I73" s="684"/>
      <c r="J73" s="37"/>
      <c r="K73" s="684"/>
      <c r="L73" s="807">
        <f t="shared" ref="L73:L136" si="22">SUM(E73:K73)</f>
        <v>0</v>
      </c>
      <c r="O73" s="873"/>
      <c r="P73" s="764"/>
      <c r="Q73" s="769">
        <f t="shared" ref="Q73:Q75" si="23">L73-O73-P73</f>
        <v>0</v>
      </c>
      <c r="R73" s="870"/>
      <c r="S73" s="870"/>
      <c r="T73" s="882"/>
      <c r="U73" s="870"/>
      <c r="V73" s="870"/>
      <c r="W73" s="870"/>
      <c r="X73" s="870"/>
      <c r="Y73" s="870"/>
      <c r="Z73" s="870"/>
      <c r="AA73" s="870"/>
      <c r="AB73" s="870"/>
      <c r="AC73" s="870"/>
      <c r="AD73" s="870"/>
      <c r="AE73" s="870"/>
    </row>
    <row r="74" spans="1:31" ht="18.75" customHeight="1" x14ac:dyDescent="0.3">
      <c r="A74" s="957"/>
      <c r="B74" s="38"/>
      <c r="C74" s="1071"/>
      <c r="D74" s="40"/>
      <c r="E74" s="684"/>
      <c r="F74" s="37"/>
      <c r="G74" s="684"/>
      <c r="H74" s="37"/>
      <c r="I74" s="684"/>
      <c r="J74" s="37"/>
      <c r="K74" s="684"/>
      <c r="L74" s="807">
        <f t="shared" si="22"/>
        <v>0</v>
      </c>
      <c r="O74" s="873"/>
      <c r="P74" s="764"/>
      <c r="Q74" s="769">
        <f t="shared" si="23"/>
        <v>0</v>
      </c>
      <c r="R74" s="870"/>
      <c r="S74" s="870"/>
      <c r="T74" s="882"/>
      <c r="U74" s="870"/>
      <c r="V74" s="870"/>
      <c r="W74" s="870"/>
      <c r="X74" s="870"/>
      <c r="Y74" s="870"/>
      <c r="Z74" s="870"/>
      <c r="AA74" s="870"/>
      <c r="AB74" s="870"/>
      <c r="AC74" s="870"/>
      <c r="AD74" s="870"/>
      <c r="AE74" s="870"/>
    </row>
    <row r="75" spans="1:31" ht="18.75" customHeight="1" x14ac:dyDescent="0.3">
      <c r="A75" s="957"/>
      <c r="B75" s="42"/>
      <c r="C75" s="955"/>
      <c r="D75" s="41"/>
      <c r="E75" s="684"/>
      <c r="F75" s="37"/>
      <c r="G75" s="684"/>
      <c r="H75" s="37"/>
      <c r="I75" s="684"/>
      <c r="J75" s="37"/>
      <c r="K75" s="684"/>
      <c r="L75" s="807">
        <f t="shared" si="22"/>
        <v>0</v>
      </c>
      <c r="O75" s="873"/>
      <c r="P75" s="764"/>
      <c r="Q75" s="769">
        <f t="shared" si="23"/>
        <v>0</v>
      </c>
      <c r="R75" s="870"/>
      <c r="S75" s="870"/>
      <c r="T75" s="882"/>
      <c r="U75" s="883"/>
      <c r="V75" s="883"/>
      <c r="W75" s="883"/>
      <c r="X75" s="883"/>
      <c r="Y75" s="883"/>
      <c r="Z75" s="883"/>
      <c r="AA75" s="883"/>
      <c r="AB75" s="883"/>
      <c r="AC75" s="883"/>
      <c r="AD75" s="883"/>
      <c r="AE75" s="883"/>
    </row>
    <row r="76" spans="1:31" ht="18.75" customHeight="1" x14ac:dyDescent="0.3">
      <c r="A76" s="742"/>
      <c r="B76" s="482"/>
      <c r="C76" s="482"/>
      <c r="D76" s="149" t="s">
        <v>229</v>
      </c>
      <c r="E76" s="150">
        <f t="shared" ref="E76:K76" si="24">SUM(E65:E75)</f>
        <v>0</v>
      </c>
      <c r="F76" s="150">
        <f t="shared" si="24"/>
        <v>0</v>
      </c>
      <c r="G76" s="150">
        <f t="shared" si="24"/>
        <v>0</v>
      </c>
      <c r="H76" s="150">
        <f t="shared" si="24"/>
        <v>0</v>
      </c>
      <c r="I76" s="150">
        <f t="shared" si="24"/>
        <v>0</v>
      </c>
      <c r="J76" s="150">
        <f t="shared" si="24"/>
        <v>0</v>
      </c>
      <c r="K76" s="150">
        <f t="shared" si="24"/>
        <v>0</v>
      </c>
      <c r="L76" s="786">
        <f t="shared" si="22"/>
        <v>0</v>
      </c>
      <c r="O76" s="951"/>
      <c r="P76" s="765"/>
      <c r="Q76" s="769"/>
      <c r="R76" s="55"/>
      <c r="S76" s="55"/>
      <c r="T76" s="395"/>
      <c r="U76" s="37"/>
      <c r="V76" s="37"/>
      <c r="W76" s="37"/>
      <c r="X76" s="476"/>
      <c r="Y76" s="476"/>
      <c r="Z76" s="476"/>
      <c r="AA76" s="476"/>
      <c r="AB76" s="476"/>
      <c r="AC76" s="476"/>
      <c r="AD76" s="476"/>
      <c r="AE76" s="476"/>
    </row>
    <row r="77" spans="1:31" ht="18.75" customHeight="1" x14ac:dyDescent="0.3">
      <c r="A77" s="742"/>
      <c r="B77" s="482"/>
      <c r="C77" s="482"/>
      <c r="D77" s="149" t="s">
        <v>230</v>
      </c>
      <c r="E77" s="150">
        <f t="shared" ref="E77:K77" si="25">SUM(E63+E76)</f>
        <v>716542.98</v>
      </c>
      <c r="F77" s="150">
        <f t="shared" si="25"/>
        <v>180000</v>
      </c>
      <c r="G77" s="150">
        <f t="shared" si="25"/>
        <v>0</v>
      </c>
      <c r="H77" s="150">
        <f t="shared" si="25"/>
        <v>0</v>
      </c>
      <c r="I77" s="150">
        <f t="shared" si="25"/>
        <v>0</v>
      </c>
      <c r="J77" s="150">
        <f t="shared" si="25"/>
        <v>0</v>
      </c>
      <c r="K77" s="150">
        <f t="shared" si="25"/>
        <v>9900</v>
      </c>
      <c r="L77" s="786">
        <f t="shared" si="22"/>
        <v>906442.98</v>
      </c>
      <c r="O77" s="951"/>
      <c r="P77" s="765"/>
      <c r="Q77" s="769"/>
      <c r="R77" s="55"/>
      <c r="S77" s="55"/>
      <c r="T77" s="397"/>
      <c r="U77" s="37"/>
      <c r="V77" s="55"/>
      <c r="W77" s="55"/>
      <c r="X77" s="55"/>
      <c r="Y77" s="55"/>
      <c r="Z77" s="55"/>
      <c r="AA77" s="55"/>
      <c r="AB77" s="55"/>
      <c r="AC77" s="55"/>
      <c r="AD77" s="55"/>
      <c r="AE77" s="55"/>
    </row>
    <row r="78" spans="1:31" ht="18.75" customHeight="1" x14ac:dyDescent="0.3">
      <c r="A78" s="743"/>
      <c r="B78" s="484"/>
      <c r="C78" s="484"/>
      <c r="D78" s="152" t="s">
        <v>231</v>
      </c>
      <c r="E78" s="153">
        <f t="shared" ref="E78:K78" si="26">SUM(E64-E76)</f>
        <v>983457.01999999979</v>
      </c>
      <c r="F78" s="153">
        <f t="shared" si="26"/>
        <v>-30000</v>
      </c>
      <c r="G78" s="153">
        <f t="shared" si="26"/>
        <v>0</v>
      </c>
      <c r="H78" s="153">
        <f t="shared" si="26"/>
        <v>0</v>
      </c>
      <c r="I78" s="153">
        <f t="shared" si="26"/>
        <v>2055000</v>
      </c>
      <c r="J78" s="153">
        <f t="shared" si="26"/>
        <v>32500</v>
      </c>
      <c r="K78" s="153">
        <f t="shared" si="26"/>
        <v>60100</v>
      </c>
      <c r="L78" s="787">
        <f t="shared" si="22"/>
        <v>3101057.0199999996</v>
      </c>
      <c r="O78" s="951"/>
      <c r="P78" s="765"/>
      <c r="Q78" s="769"/>
      <c r="R78" s="55"/>
      <c r="S78" s="55"/>
      <c r="T78" s="397"/>
      <c r="U78" s="37"/>
      <c r="V78" s="55"/>
      <c r="W78" s="55"/>
      <c r="X78" s="55"/>
      <c r="Y78" s="55"/>
      <c r="Z78" s="55"/>
      <c r="AA78" s="55"/>
      <c r="AB78" s="55"/>
      <c r="AC78" s="55"/>
      <c r="AD78" s="55"/>
      <c r="AE78" s="55"/>
    </row>
    <row r="79" spans="1:31" ht="18.75" customHeight="1" x14ac:dyDescent="0.3">
      <c r="A79" s="1035" t="s">
        <v>232</v>
      </c>
      <c r="B79" s="42"/>
      <c r="C79" s="955"/>
      <c r="D79" s="41"/>
      <c r="E79" s="684"/>
      <c r="F79" s="37"/>
      <c r="G79" s="684"/>
      <c r="H79" s="37"/>
      <c r="I79" s="684"/>
      <c r="J79" s="37"/>
      <c r="K79" s="684"/>
      <c r="L79" s="1036">
        <f t="shared" si="22"/>
        <v>0</v>
      </c>
      <c r="O79" s="873"/>
      <c r="P79" s="764"/>
      <c r="Q79" s="769"/>
      <c r="R79" s="37"/>
      <c r="S79" s="37"/>
      <c r="T79" s="397"/>
      <c r="U79" s="37"/>
      <c r="V79" s="55"/>
      <c r="W79" s="55"/>
      <c r="X79" s="55"/>
      <c r="Y79" s="55"/>
      <c r="Z79" s="55"/>
      <c r="AA79" s="55"/>
      <c r="AB79" s="55"/>
      <c r="AC79" s="55"/>
      <c r="AD79" s="55"/>
      <c r="AE79" s="55"/>
    </row>
    <row r="80" spans="1:31" ht="18.75" customHeight="1" x14ac:dyDescent="0.3">
      <c r="A80" s="957"/>
      <c r="B80" s="42"/>
      <c r="C80" s="955"/>
      <c r="D80" s="34"/>
      <c r="E80" s="684"/>
      <c r="F80" s="37"/>
      <c r="G80" s="684"/>
      <c r="H80" s="37"/>
      <c r="I80" s="684"/>
      <c r="J80" s="37"/>
      <c r="K80" s="684"/>
      <c r="L80" s="807">
        <f t="shared" si="22"/>
        <v>0</v>
      </c>
      <c r="O80" s="873"/>
      <c r="P80" s="764"/>
      <c r="Q80" s="769">
        <f t="shared" ref="Q80:Q85" si="27">L80-O80-P80</f>
        <v>0</v>
      </c>
      <c r="R80" s="870"/>
      <c r="S80" s="870"/>
      <c r="T80" s="882"/>
      <c r="U80" s="870"/>
      <c r="V80" s="870"/>
      <c r="W80" s="870"/>
      <c r="X80" s="870"/>
      <c r="Y80" s="870"/>
      <c r="Z80" s="870"/>
      <c r="AA80" s="870"/>
      <c r="AB80" s="870"/>
      <c r="AC80" s="870"/>
      <c r="AD80" s="870"/>
      <c r="AE80" s="870"/>
    </row>
    <row r="81" spans="1:31" ht="18.75" customHeight="1" x14ac:dyDescent="0.3">
      <c r="A81" s="957"/>
      <c r="B81" s="42"/>
      <c r="C81" s="955"/>
      <c r="D81" s="41"/>
      <c r="E81" s="684"/>
      <c r="F81" s="37"/>
      <c r="G81" s="684"/>
      <c r="H81" s="37"/>
      <c r="I81" s="684"/>
      <c r="J81" s="37"/>
      <c r="K81" s="684"/>
      <c r="L81" s="807">
        <f t="shared" si="22"/>
        <v>0</v>
      </c>
      <c r="O81" s="873"/>
      <c r="P81" s="764"/>
      <c r="Q81" s="769">
        <f t="shared" si="27"/>
        <v>0</v>
      </c>
      <c r="R81" s="870"/>
      <c r="S81" s="870"/>
      <c r="T81" s="882"/>
      <c r="U81" s="870"/>
      <c r="V81" s="870"/>
      <c r="W81" s="870"/>
      <c r="X81" s="870"/>
      <c r="Y81" s="870"/>
      <c r="Z81" s="870"/>
      <c r="AA81" s="870"/>
      <c r="AB81" s="870"/>
      <c r="AC81" s="870"/>
      <c r="AD81" s="870"/>
      <c r="AE81" s="870"/>
    </row>
    <row r="82" spans="1:31" ht="18.75" customHeight="1" x14ac:dyDescent="0.3">
      <c r="A82" s="957"/>
      <c r="B82" s="42"/>
      <c r="C82" s="955"/>
      <c r="D82" s="34"/>
      <c r="E82" s="684"/>
      <c r="F82" s="37"/>
      <c r="G82" s="684"/>
      <c r="H82" s="37"/>
      <c r="I82" s="684"/>
      <c r="J82" s="37"/>
      <c r="K82" s="684"/>
      <c r="L82" s="807">
        <f t="shared" si="22"/>
        <v>0</v>
      </c>
      <c r="O82" s="873"/>
      <c r="P82" s="765"/>
      <c r="Q82" s="769">
        <f t="shared" si="27"/>
        <v>0</v>
      </c>
      <c r="R82" s="870"/>
      <c r="S82" s="870"/>
      <c r="T82" s="882"/>
      <c r="U82" s="870"/>
      <c r="V82" s="870"/>
      <c r="W82" s="870"/>
      <c r="X82" s="870"/>
      <c r="Y82" s="870"/>
      <c r="Z82" s="870"/>
      <c r="AA82" s="870"/>
      <c r="AB82" s="870"/>
      <c r="AC82" s="870"/>
      <c r="AD82" s="870"/>
      <c r="AE82" s="870"/>
    </row>
    <row r="83" spans="1:31" ht="18.75" customHeight="1" x14ac:dyDescent="0.3">
      <c r="A83" s="957"/>
      <c r="B83" s="42"/>
      <c r="C83" s="955"/>
      <c r="D83" s="41"/>
      <c r="E83" s="684"/>
      <c r="F83" s="37"/>
      <c r="G83" s="684"/>
      <c r="H83" s="37"/>
      <c r="I83" s="684"/>
      <c r="J83" s="37"/>
      <c r="K83" s="684"/>
      <c r="L83" s="807">
        <f t="shared" si="22"/>
        <v>0</v>
      </c>
      <c r="O83" s="873"/>
      <c r="P83" s="764"/>
      <c r="Q83" s="769">
        <f t="shared" si="27"/>
        <v>0</v>
      </c>
      <c r="R83" s="870"/>
      <c r="S83" s="870"/>
      <c r="T83" s="882"/>
      <c r="U83" s="870"/>
      <c r="V83" s="870"/>
      <c r="W83" s="870"/>
      <c r="X83" s="870"/>
      <c r="Y83" s="870"/>
      <c r="Z83" s="870"/>
      <c r="AA83" s="870"/>
      <c r="AB83" s="870"/>
      <c r="AC83" s="870"/>
      <c r="AD83" s="870"/>
      <c r="AE83" s="870"/>
    </row>
    <row r="84" spans="1:31" ht="18.75" customHeight="1" x14ac:dyDescent="0.3">
      <c r="A84" s="957"/>
      <c r="B84" s="42"/>
      <c r="C84" s="840"/>
      <c r="D84" s="34"/>
      <c r="E84" s="684"/>
      <c r="F84" s="37"/>
      <c r="G84" s="684"/>
      <c r="H84" s="37"/>
      <c r="I84" s="684"/>
      <c r="J84" s="37"/>
      <c r="K84" s="684"/>
      <c r="L84" s="807">
        <f t="shared" si="22"/>
        <v>0</v>
      </c>
      <c r="O84" s="873"/>
      <c r="P84" s="764"/>
      <c r="Q84" s="769">
        <f t="shared" si="27"/>
        <v>0</v>
      </c>
      <c r="R84" s="870"/>
      <c r="S84" s="870"/>
      <c r="T84" s="882"/>
      <c r="U84" s="870"/>
      <c r="V84" s="870"/>
      <c r="W84" s="870"/>
      <c r="X84" s="870"/>
      <c r="Y84" s="870"/>
      <c r="Z84" s="870"/>
      <c r="AA84" s="870"/>
      <c r="AB84" s="870"/>
      <c r="AC84" s="870"/>
      <c r="AD84" s="870"/>
      <c r="AE84" s="870"/>
    </row>
    <row r="85" spans="1:31" ht="18.75" customHeight="1" x14ac:dyDescent="0.3">
      <c r="A85" s="957"/>
      <c r="B85" s="42"/>
      <c r="C85" s="955"/>
      <c r="D85" s="41"/>
      <c r="E85" s="684"/>
      <c r="F85" s="37"/>
      <c r="G85" s="684"/>
      <c r="H85" s="37"/>
      <c r="I85" s="684"/>
      <c r="J85" s="37"/>
      <c r="K85" s="684"/>
      <c r="L85" s="807">
        <f t="shared" si="22"/>
        <v>0</v>
      </c>
      <c r="O85" s="873"/>
      <c r="P85" s="764"/>
      <c r="Q85" s="769">
        <f t="shared" si="27"/>
        <v>0</v>
      </c>
      <c r="R85" s="870"/>
      <c r="S85" s="870"/>
      <c r="T85" s="882"/>
      <c r="U85" s="870"/>
      <c r="V85" s="870"/>
      <c r="W85" s="870"/>
      <c r="X85" s="870"/>
      <c r="Y85" s="870"/>
      <c r="Z85" s="870"/>
      <c r="AA85" s="870"/>
      <c r="AB85" s="870"/>
      <c r="AC85" s="870"/>
      <c r="AD85" s="870"/>
      <c r="AE85" s="870"/>
    </row>
    <row r="86" spans="1:31" ht="18.75" customHeight="1" x14ac:dyDescent="0.3">
      <c r="A86" s="957"/>
      <c r="B86" s="42"/>
      <c r="C86" s="955"/>
      <c r="D86" s="140"/>
      <c r="E86" s="1080"/>
      <c r="F86" s="37"/>
      <c r="G86" s="684"/>
      <c r="H86" s="37"/>
      <c r="I86" s="684"/>
      <c r="J86" s="37"/>
      <c r="K86" s="684"/>
      <c r="L86" s="807">
        <f t="shared" si="22"/>
        <v>0</v>
      </c>
      <c r="O86" s="873"/>
      <c r="P86" s="764"/>
      <c r="Q86" s="769">
        <v>0</v>
      </c>
      <c r="R86" s="870"/>
      <c r="S86" s="870"/>
      <c r="T86" s="882"/>
      <c r="U86" s="870"/>
      <c r="V86" s="870"/>
      <c r="W86" s="870"/>
      <c r="X86" s="870"/>
      <c r="Y86" s="870"/>
      <c r="Z86" s="870"/>
      <c r="AA86" s="870"/>
      <c r="AB86" s="870"/>
      <c r="AC86" s="870"/>
      <c r="AD86" s="870"/>
      <c r="AE86" s="870"/>
    </row>
    <row r="87" spans="1:31" ht="18.75" customHeight="1" x14ac:dyDescent="0.3">
      <c r="A87" s="957"/>
      <c r="B87" s="42"/>
      <c r="C87" s="955"/>
      <c r="D87" s="41"/>
      <c r="E87" s="684"/>
      <c r="F87" s="37"/>
      <c r="G87" s="684"/>
      <c r="H87" s="37"/>
      <c r="I87" s="684"/>
      <c r="J87" s="37"/>
      <c r="K87" s="684"/>
      <c r="L87" s="807">
        <f t="shared" si="22"/>
        <v>0</v>
      </c>
      <c r="O87" s="873"/>
      <c r="P87" s="764"/>
      <c r="Q87" s="769">
        <f t="shared" ref="Q87:Q89" si="28">L87-O87-P87</f>
        <v>0</v>
      </c>
      <c r="R87" s="870"/>
      <c r="S87" s="870"/>
      <c r="T87" s="882"/>
      <c r="U87" s="870"/>
      <c r="V87" s="870"/>
      <c r="W87" s="870"/>
      <c r="X87" s="870"/>
      <c r="Y87" s="870"/>
      <c r="Z87" s="870"/>
      <c r="AA87" s="870"/>
      <c r="AB87" s="870"/>
      <c r="AC87" s="870"/>
      <c r="AD87" s="870"/>
      <c r="AE87" s="870"/>
    </row>
    <row r="88" spans="1:31" ht="18.75" customHeight="1" x14ac:dyDescent="0.3">
      <c r="A88" s="957"/>
      <c r="B88" s="38"/>
      <c r="C88" s="1071"/>
      <c r="D88" s="40"/>
      <c r="E88" s="684"/>
      <c r="F88" s="37"/>
      <c r="G88" s="684"/>
      <c r="H88" s="37"/>
      <c r="I88" s="684"/>
      <c r="J88" s="37"/>
      <c r="K88" s="684"/>
      <c r="L88" s="807">
        <f t="shared" si="22"/>
        <v>0</v>
      </c>
      <c r="O88" s="873"/>
      <c r="P88" s="764"/>
      <c r="Q88" s="769">
        <f t="shared" si="28"/>
        <v>0</v>
      </c>
      <c r="R88" s="870"/>
      <c r="S88" s="870"/>
      <c r="T88" s="882"/>
      <c r="U88" s="870"/>
      <c r="V88" s="870"/>
      <c r="W88" s="870"/>
      <c r="X88" s="870"/>
      <c r="Y88" s="870"/>
      <c r="Z88" s="870"/>
      <c r="AA88" s="870"/>
      <c r="AB88" s="870"/>
      <c r="AC88" s="870"/>
      <c r="AD88" s="870"/>
      <c r="AE88" s="870"/>
    </row>
    <row r="89" spans="1:31" ht="18.75" customHeight="1" x14ac:dyDescent="0.3">
      <c r="A89" s="957"/>
      <c r="B89" s="42"/>
      <c r="C89" s="955"/>
      <c r="D89" s="41"/>
      <c r="E89" s="684"/>
      <c r="F89" s="37"/>
      <c r="G89" s="684"/>
      <c r="H89" s="37"/>
      <c r="I89" s="684"/>
      <c r="J89" s="37"/>
      <c r="K89" s="684"/>
      <c r="L89" s="807">
        <f t="shared" si="22"/>
        <v>0</v>
      </c>
      <c r="O89" s="873"/>
      <c r="P89" s="764"/>
      <c r="Q89" s="769">
        <f t="shared" si="28"/>
        <v>0</v>
      </c>
      <c r="R89" s="870"/>
      <c r="S89" s="870"/>
      <c r="T89" s="882"/>
      <c r="U89" s="883"/>
      <c r="V89" s="883"/>
      <c r="W89" s="883"/>
      <c r="X89" s="883"/>
      <c r="Y89" s="883"/>
      <c r="Z89" s="883"/>
      <c r="AA89" s="883"/>
      <c r="AB89" s="883"/>
      <c r="AC89" s="883"/>
      <c r="AD89" s="883"/>
      <c r="AE89" s="883"/>
    </row>
    <row r="90" spans="1:31" ht="18.75" customHeight="1" x14ac:dyDescent="0.3">
      <c r="A90" s="742"/>
      <c r="B90" s="482"/>
      <c r="C90" s="482"/>
      <c r="D90" s="149" t="s">
        <v>233</v>
      </c>
      <c r="E90" s="150">
        <f t="shared" ref="E90:K90" si="29">SUM(E79:E89)</f>
        <v>0</v>
      </c>
      <c r="F90" s="150">
        <f t="shared" si="29"/>
        <v>0</v>
      </c>
      <c r="G90" s="150">
        <f t="shared" si="29"/>
        <v>0</v>
      </c>
      <c r="H90" s="150">
        <f t="shared" si="29"/>
        <v>0</v>
      </c>
      <c r="I90" s="150">
        <f t="shared" si="29"/>
        <v>0</v>
      </c>
      <c r="J90" s="150">
        <f t="shared" si="29"/>
        <v>0</v>
      </c>
      <c r="K90" s="150">
        <f t="shared" si="29"/>
        <v>0</v>
      </c>
      <c r="L90" s="786">
        <f t="shared" si="22"/>
        <v>0</v>
      </c>
      <c r="O90" s="951"/>
      <c r="P90" s="765"/>
      <c r="Q90" s="769"/>
      <c r="R90" s="55"/>
      <c r="S90" s="55"/>
      <c r="T90" s="395"/>
      <c r="U90" s="43"/>
      <c r="V90" s="43"/>
      <c r="W90" s="43"/>
      <c r="X90" s="477"/>
      <c r="Y90" s="477"/>
      <c r="Z90" s="477"/>
      <c r="AA90" s="477"/>
      <c r="AB90" s="477"/>
      <c r="AC90" s="477"/>
      <c r="AD90" s="477"/>
      <c r="AE90" s="477"/>
    </row>
    <row r="91" spans="1:31" ht="18.75" customHeight="1" x14ac:dyDescent="0.3">
      <c r="A91" s="742"/>
      <c r="B91" s="482"/>
      <c r="C91" s="482"/>
      <c r="D91" s="149" t="s">
        <v>234</v>
      </c>
      <c r="E91" s="150">
        <f t="shared" ref="E91:K91" si="30">SUM(E77+E90)</f>
        <v>716542.98</v>
      </c>
      <c r="F91" s="150">
        <f t="shared" si="30"/>
        <v>180000</v>
      </c>
      <c r="G91" s="150">
        <f t="shared" si="30"/>
        <v>0</v>
      </c>
      <c r="H91" s="150">
        <f t="shared" si="30"/>
        <v>0</v>
      </c>
      <c r="I91" s="150">
        <f t="shared" si="30"/>
        <v>0</v>
      </c>
      <c r="J91" s="150">
        <f t="shared" si="30"/>
        <v>0</v>
      </c>
      <c r="K91" s="150">
        <f t="shared" si="30"/>
        <v>9900</v>
      </c>
      <c r="L91" s="786">
        <f t="shared" si="22"/>
        <v>906442.98</v>
      </c>
      <c r="O91" s="951"/>
      <c r="P91" s="765"/>
      <c r="Q91" s="769"/>
      <c r="R91" s="55"/>
      <c r="S91" s="55"/>
      <c r="T91" s="395"/>
      <c r="U91" s="37"/>
      <c r="V91" s="37"/>
      <c r="W91" s="37"/>
      <c r="X91" s="476"/>
      <c r="Y91" s="476"/>
      <c r="Z91" s="476"/>
      <c r="AA91" s="476"/>
      <c r="AB91" s="476"/>
      <c r="AC91" s="476"/>
      <c r="AD91" s="476"/>
      <c r="AE91" s="476"/>
    </row>
    <row r="92" spans="1:31" ht="18.75" customHeight="1" x14ac:dyDescent="0.3">
      <c r="A92" s="743"/>
      <c r="B92" s="484"/>
      <c r="C92" s="484"/>
      <c r="D92" s="152" t="s">
        <v>235</v>
      </c>
      <c r="E92" s="153">
        <f t="shared" ref="E92:K92" si="31">SUM(E78-E90)</f>
        <v>983457.01999999979</v>
      </c>
      <c r="F92" s="153">
        <f t="shared" si="31"/>
        <v>-30000</v>
      </c>
      <c r="G92" s="153">
        <f t="shared" si="31"/>
        <v>0</v>
      </c>
      <c r="H92" s="153">
        <f t="shared" si="31"/>
        <v>0</v>
      </c>
      <c r="I92" s="153">
        <f t="shared" si="31"/>
        <v>2055000</v>
      </c>
      <c r="J92" s="153">
        <f t="shared" si="31"/>
        <v>32500</v>
      </c>
      <c r="K92" s="153">
        <f t="shared" si="31"/>
        <v>60100</v>
      </c>
      <c r="L92" s="787">
        <f t="shared" si="22"/>
        <v>3101057.0199999996</v>
      </c>
      <c r="O92" s="951"/>
      <c r="P92" s="765"/>
      <c r="Q92" s="769"/>
      <c r="R92" s="55"/>
      <c r="S92" s="55"/>
      <c r="T92" s="395"/>
      <c r="U92" s="43"/>
      <c r="V92" s="43"/>
      <c r="W92" s="43"/>
      <c r="X92" s="477"/>
      <c r="Y92" s="477"/>
      <c r="Z92" s="477"/>
      <c r="AA92" s="477"/>
      <c r="AB92" s="477"/>
      <c r="AC92" s="477"/>
      <c r="AD92" s="477"/>
      <c r="AE92" s="477"/>
    </row>
    <row r="93" spans="1:31" ht="18.75" customHeight="1" x14ac:dyDescent="0.3">
      <c r="A93" s="1035" t="s">
        <v>236</v>
      </c>
      <c r="B93" s="42"/>
      <c r="C93" s="955"/>
      <c r="D93" s="41"/>
      <c r="E93" s="684"/>
      <c r="F93" s="37"/>
      <c r="G93" s="684"/>
      <c r="H93" s="37"/>
      <c r="I93" s="684"/>
      <c r="J93" s="37"/>
      <c r="K93" s="684"/>
      <c r="L93" s="1036">
        <f t="shared" si="22"/>
        <v>0</v>
      </c>
      <c r="O93" s="873"/>
      <c r="P93" s="764"/>
      <c r="Q93" s="769"/>
      <c r="R93" s="37"/>
      <c r="S93" s="37"/>
      <c r="T93" s="395"/>
      <c r="U93" s="37"/>
      <c r="V93" s="37"/>
      <c r="W93" s="37"/>
      <c r="X93" s="476"/>
      <c r="Y93" s="476"/>
      <c r="Z93" s="476"/>
      <c r="AA93" s="476"/>
      <c r="AB93" s="476"/>
      <c r="AC93" s="476"/>
      <c r="AD93" s="476"/>
      <c r="AE93" s="476"/>
    </row>
    <row r="94" spans="1:31" ht="18.75" customHeight="1" x14ac:dyDescent="0.3">
      <c r="A94" s="957"/>
      <c r="B94" s="42"/>
      <c r="C94" s="955"/>
      <c r="D94" s="34"/>
      <c r="E94" s="684"/>
      <c r="F94" s="37"/>
      <c r="G94" s="684"/>
      <c r="H94" s="37"/>
      <c r="I94" s="684"/>
      <c r="J94" s="37"/>
      <c r="K94" s="684"/>
      <c r="L94" s="807">
        <f t="shared" si="22"/>
        <v>0</v>
      </c>
      <c r="O94" s="873"/>
      <c r="P94" s="764"/>
      <c r="Q94" s="769">
        <f t="shared" ref="Q94:Q99" si="32">L94-O94-P94</f>
        <v>0</v>
      </c>
      <c r="R94" s="870"/>
      <c r="S94" s="870"/>
      <c r="T94" s="882"/>
      <c r="U94" s="870"/>
      <c r="V94" s="870"/>
      <c r="W94" s="870"/>
      <c r="X94" s="870"/>
      <c r="Y94" s="870"/>
      <c r="Z94" s="870"/>
      <c r="AA94" s="870"/>
      <c r="AB94" s="870"/>
      <c r="AC94" s="870"/>
      <c r="AD94" s="870"/>
      <c r="AE94" s="870"/>
    </row>
    <row r="95" spans="1:31" ht="18.75" customHeight="1" x14ac:dyDescent="0.3">
      <c r="A95" s="957"/>
      <c r="B95" s="42"/>
      <c r="C95" s="955"/>
      <c r="D95" s="41"/>
      <c r="E95" s="684"/>
      <c r="F95" s="37"/>
      <c r="G95" s="684"/>
      <c r="H95" s="37"/>
      <c r="I95" s="684"/>
      <c r="J95" s="37"/>
      <c r="K95" s="684"/>
      <c r="L95" s="807">
        <f t="shared" si="22"/>
        <v>0</v>
      </c>
      <c r="O95" s="873"/>
      <c r="P95" s="764"/>
      <c r="Q95" s="769">
        <f t="shared" si="32"/>
        <v>0</v>
      </c>
      <c r="R95" s="870"/>
      <c r="S95" s="870"/>
      <c r="T95" s="882"/>
      <c r="U95" s="870"/>
      <c r="V95" s="870"/>
      <c r="W95" s="870"/>
      <c r="X95" s="870"/>
      <c r="Y95" s="870"/>
      <c r="Z95" s="870"/>
      <c r="AA95" s="870"/>
      <c r="AB95" s="870"/>
      <c r="AC95" s="870"/>
      <c r="AD95" s="870"/>
      <c r="AE95" s="870"/>
    </row>
    <row r="96" spans="1:31" ht="18.75" customHeight="1" x14ac:dyDescent="0.3">
      <c r="A96" s="957"/>
      <c r="B96" s="42"/>
      <c r="C96" s="955"/>
      <c r="D96" s="34"/>
      <c r="E96" s="684"/>
      <c r="F96" s="37"/>
      <c r="G96" s="684"/>
      <c r="H96" s="37"/>
      <c r="I96" s="684"/>
      <c r="J96" s="37"/>
      <c r="K96" s="684"/>
      <c r="L96" s="807">
        <f t="shared" si="22"/>
        <v>0</v>
      </c>
      <c r="O96" s="873"/>
      <c r="P96" s="765"/>
      <c r="Q96" s="769">
        <f t="shared" si="32"/>
        <v>0</v>
      </c>
      <c r="R96" s="870"/>
      <c r="S96" s="870"/>
      <c r="T96" s="882"/>
      <c r="U96" s="870"/>
      <c r="V96" s="870"/>
      <c r="W96" s="870"/>
      <c r="X96" s="870"/>
      <c r="Y96" s="870"/>
      <c r="Z96" s="870"/>
      <c r="AA96" s="870"/>
      <c r="AB96" s="870"/>
      <c r="AC96" s="870"/>
      <c r="AD96" s="870"/>
      <c r="AE96" s="870"/>
    </row>
    <row r="97" spans="1:31" ht="18.75" customHeight="1" x14ac:dyDescent="0.3">
      <c r="A97" s="957"/>
      <c r="B97" s="42"/>
      <c r="C97" s="955"/>
      <c r="D97" s="41"/>
      <c r="E97" s="684"/>
      <c r="F97" s="37"/>
      <c r="G97" s="684"/>
      <c r="H97" s="37"/>
      <c r="I97" s="684"/>
      <c r="J97" s="37"/>
      <c r="K97" s="684"/>
      <c r="L97" s="807">
        <f t="shared" si="22"/>
        <v>0</v>
      </c>
      <c r="O97" s="873"/>
      <c r="P97" s="764"/>
      <c r="Q97" s="769">
        <f t="shared" si="32"/>
        <v>0</v>
      </c>
      <c r="R97" s="870"/>
      <c r="S97" s="870"/>
      <c r="T97" s="882"/>
      <c r="U97" s="870"/>
      <c r="V97" s="870"/>
      <c r="W97" s="870"/>
      <c r="X97" s="870"/>
      <c r="Y97" s="870"/>
      <c r="Z97" s="870"/>
      <c r="AA97" s="870"/>
      <c r="AB97" s="870"/>
      <c r="AC97" s="870"/>
      <c r="AD97" s="870"/>
      <c r="AE97" s="870"/>
    </row>
    <row r="98" spans="1:31" ht="18.75" customHeight="1" x14ac:dyDescent="0.3">
      <c r="A98" s="957"/>
      <c r="B98" s="42"/>
      <c r="C98" s="840"/>
      <c r="D98" s="34"/>
      <c r="E98" s="684"/>
      <c r="F98" s="37"/>
      <c r="G98" s="684"/>
      <c r="H98" s="37"/>
      <c r="I98" s="684"/>
      <c r="J98" s="37"/>
      <c r="K98" s="684"/>
      <c r="L98" s="807">
        <f t="shared" si="22"/>
        <v>0</v>
      </c>
      <c r="O98" s="873"/>
      <c r="P98" s="764"/>
      <c r="Q98" s="769">
        <f t="shared" si="32"/>
        <v>0</v>
      </c>
      <c r="R98" s="870"/>
      <c r="S98" s="870"/>
      <c r="T98" s="882"/>
      <c r="U98" s="870"/>
      <c r="V98" s="870"/>
      <c r="W98" s="870"/>
      <c r="X98" s="870"/>
      <c r="Y98" s="870"/>
      <c r="Z98" s="870"/>
      <c r="AA98" s="870"/>
      <c r="AB98" s="870"/>
      <c r="AC98" s="870"/>
      <c r="AD98" s="870"/>
      <c r="AE98" s="870"/>
    </row>
    <row r="99" spans="1:31" ht="18.75" customHeight="1" x14ac:dyDescent="0.3">
      <c r="A99" s="957"/>
      <c r="B99" s="42"/>
      <c r="C99" s="955"/>
      <c r="D99" s="41"/>
      <c r="E99" s="684"/>
      <c r="F99" s="37"/>
      <c r="G99" s="684"/>
      <c r="H99" s="37"/>
      <c r="I99" s="684"/>
      <c r="J99" s="37"/>
      <c r="K99" s="684"/>
      <c r="L99" s="807">
        <f t="shared" si="22"/>
        <v>0</v>
      </c>
      <c r="O99" s="873"/>
      <c r="P99" s="764"/>
      <c r="Q99" s="769">
        <f t="shared" si="32"/>
        <v>0</v>
      </c>
      <c r="R99" s="870"/>
      <c r="S99" s="870"/>
      <c r="T99" s="882"/>
      <c r="U99" s="870"/>
      <c r="V99" s="870"/>
      <c r="W99" s="870"/>
      <c r="X99" s="870"/>
      <c r="Y99" s="870"/>
      <c r="Z99" s="870"/>
      <c r="AA99" s="870"/>
      <c r="AB99" s="870"/>
      <c r="AC99" s="870"/>
      <c r="AD99" s="870"/>
      <c r="AE99" s="870"/>
    </row>
    <row r="100" spans="1:31" ht="18.75" customHeight="1" x14ac:dyDescent="0.3">
      <c r="A100" s="957"/>
      <c r="B100" s="42"/>
      <c r="C100" s="955"/>
      <c r="D100" s="140"/>
      <c r="E100" s="1080"/>
      <c r="F100" s="37"/>
      <c r="G100" s="684"/>
      <c r="H100" s="37"/>
      <c r="I100" s="684"/>
      <c r="J100" s="37"/>
      <c r="K100" s="684"/>
      <c r="L100" s="807">
        <f t="shared" si="22"/>
        <v>0</v>
      </c>
      <c r="O100" s="873"/>
      <c r="P100" s="764"/>
      <c r="Q100" s="769">
        <v>0</v>
      </c>
      <c r="R100" s="870"/>
      <c r="S100" s="870"/>
      <c r="T100" s="882"/>
      <c r="U100" s="870"/>
      <c r="V100" s="870"/>
      <c r="W100" s="870"/>
      <c r="X100" s="870"/>
      <c r="Y100" s="870"/>
      <c r="Z100" s="870"/>
      <c r="AA100" s="870"/>
      <c r="AB100" s="870"/>
      <c r="AC100" s="870"/>
      <c r="AD100" s="870"/>
      <c r="AE100" s="870"/>
    </row>
    <row r="101" spans="1:31" ht="18.75" customHeight="1" x14ac:dyDescent="0.3">
      <c r="A101" s="957"/>
      <c r="B101" s="42"/>
      <c r="C101" s="955"/>
      <c r="D101" s="41"/>
      <c r="E101" s="684"/>
      <c r="F101" s="37"/>
      <c r="G101" s="684"/>
      <c r="H101" s="37"/>
      <c r="I101" s="684"/>
      <c r="J101" s="37"/>
      <c r="K101" s="684"/>
      <c r="L101" s="807">
        <f t="shared" si="22"/>
        <v>0</v>
      </c>
      <c r="O101" s="873"/>
      <c r="P101" s="764"/>
      <c r="Q101" s="769">
        <f t="shared" ref="Q101:Q103" si="33">L101-O101-P101</f>
        <v>0</v>
      </c>
      <c r="R101" s="870"/>
      <c r="S101" s="870"/>
      <c r="T101" s="882"/>
      <c r="U101" s="870"/>
      <c r="V101" s="870"/>
      <c r="W101" s="870"/>
      <c r="X101" s="870"/>
      <c r="Y101" s="870"/>
      <c r="Z101" s="870"/>
      <c r="AA101" s="870"/>
      <c r="AB101" s="870"/>
      <c r="AC101" s="870"/>
      <c r="AD101" s="870"/>
      <c r="AE101" s="870"/>
    </row>
    <row r="102" spans="1:31" ht="18.75" customHeight="1" x14ac:dyDescent="0.3">
      <c r="A102" s="957"/>
      <c r="B102" s="38"/>
      <c r="C102" s="1071"/>
      <c r="D102" s="40"/>
      <c r="E102" s="684"/>
      <c r="F102" s="37"/>
      <c r="G102" s="684"/>
      <c r="H102" s="37"/>
      <c r="I102" s="684"/>
      <c r="J102" s="37"/>
      <c r="K102" s="684"/>
      <c r="L102" s="807">
        <f t="shared" si="22"/>
        <v>0</v>
      </c>
      <c r="O102" s="873"/>
      <c r="P102" s="764"/>
      <c r="Q102" s="769">
        <f t="shared" si="33"/>
        <v>0</v>
      </c>
      <c r="R102" s="870"/>
      <c r="S102" s="870"/>
      <c r="T102" s="882"/>
      <c r="U102" s="870"/>
      <c r="V102" s="870"/>
      <c r="W102" s="870"/>
      <c r="X102" s="870"/>
      <c r="Y102" s="870"/>
      <c r="Z102" s="870"/>
      <c r="AA102" s="870"/>
      <c r="AB102" s="870"/>
      <c r="AC102" s="870"/>
      <c r="AD102" s="870"/>
      <c r="AE102" s="870"/>
    </row>
    <row r="103" spans="1:31" ht="18.75" customHeight="1" x14ac:dyDescent="0.3">
      <c r="A103" s="957"/>
      <c r="B103" s="42"/>
      <c r="C103" s="955"/>
      <c r="D103" s="41"/>
      <c r="E103" s="684"/>
      <c r="F103" s="37"/>
      <c r="G103" s="684"/>
      <c r="H103" s="37"/>
      <c r="I103" s="684"/>
      <c r="J103" s="37"/>
      <c r="K103" s="684"/>
      <c r="L103" s="807">
        <f t="shared" si="22"/>
        <v>0</v>
      </c>
      <c r="O103" s="873"/>
      <c r="P103" s="764"/>
      <c r="Q103" s="769">
        <f t="shared" si="33"/>
        <v>0</v>
      </c>
      <c r="R103" s="870"/>
      <c r="S103" s="870"/>
      <c r="T103" s="882"/>
      <c r="U103" s="883"/>
      <c r="V103" s="883"/>
      <c r="W103" s="883"/>
      <c r="X103" s="883"/>
      <c r="Y103" s="883"/>
      <c r="Z103" s="883"/>
      <c r="AA103" s="883"/>
      <c r="AB103" s="883"/>
      <c r="AC103" s="883"/>
      <c r="AD103" s="883"/>
      <c r="AE103" s="883"/>
    </row>
    <row r="104" spans="1:31" ht="18.75" customHeight="1" x14ac:dyDescent="0.3">
      <c r="A104" s="742"/>
      <c r="B104" s="482"/>
      <c r="C104" s="482"/>
      <c r="D104" s="149" t="s">
        <v>237</v>
      </c>
      <c r="E104" s="150">
        <f t="shared" ref="E104:K104" si="34">SUM(E93:E103)</f>
        <v>0</v>
      </c>
      <c r="F104" s="150">
        <f t="shared" si="34"/>
        <v>0</v>
      </c>
      <c r="G104" s="150">
        <f t="shared" si="34"/>
        <v>0</v>
      </c>
      <c r="H104" s="150">
        <f t="shared" si="34"/>
        <v>0</v>
      </c>
      <c r="I104" s="150">
        <f t="shared" si="34"/>
        <v>0</v>
      </c>
      <c r="J104" s="150">
        <f t="shared" si="34"/>
        <v>0</v>
      </c>
      <c r="K104" s="150">
        <f t="shared" si="34"/>
        <v>0</v>
      </c>
      <c r="L104" s="786">
        <f t="shared" si="22"/>
        <v>0</v>
      </c>
      <c r="O104" s="951"/>
      <c r="P104" s="765"/>
      <c r="Q104" s="769"/>
      <c r="R104" s="55"/>
      <c r="S104" s="55"/>
      <c r="T104" s="395"/>
      <c r="U104" s="37"/>
      <c r="V104" s="37"/>
      <c r="W104" s="37"/>
      <c r="X104" s="476"/>
      <c r="Y104" s="476"/>
      <c r="Z104" s="476"/>
      <c r="AA104" s="476"/>
      <c r="AB104" s="476"/>
      <c r="AC104" s="476"/>
      <c r="AD104" s="476"/>
      <c r="AE104" s="476"/>
    </row>
    <row r="105" spans="1:31" ht="18.75" customHeight="1" x14ac:dyDescent="0.3">
      <c r="A105" s="742"/>
      <c r="B105" s="482"/>
      <c r="C105" s="482"/>
      <c r="D105" s="149" t="s">
        <v>238</v>
      </c>
      <c r="E105" s="150">
        <f t="shared" ref="E105:K105" si="35">SUM(E91+E104)</f>
        <v>716542.98</v>
      </c>
      <c r="F105" s="150">
        <f t="shared" si="35"/>
        <v>180000</v>
      </c>
      <c r="G105" s="150">
        <f t="shared" si="35"/>
        <v>0</v>
      </c>
      <c r="H105" s="150">
        <f t="shared" si="35"/>
        <v>0</v>
      </c>
      <c r="I105" s="150">
        <f t="shared" si="35"/>
        <v>0</v>
      </c>
      <c r="J105" s="150">
        <f t="shared" si="35"/>
        <v>0</v>
      </c>
      <c r="K105" s="150">
        <f t="shared" si="35"/>
        <v>9900</v>
      </c>
      <c r="L105" s="786">
        <f t="shared" si="22"/>
        <v>906442.98</v>
      </c>
      <c r="O105" s="951"/>
      <c r="P105" s="765"/>
      <c r="Q105" s="769"/>
      <c r="R105" s="55"/>
      <c r="S105" s="55"/>
      <c r="T105" s="395"/>
      <c r="U105" s="37"/>
      <c r="V105" s="37"/>
      <c r="W105" s="37"/>
      <c r="X105" s="476"/>
      <c r="Y105" s="476"/>
      <c r="Z105" s="476"/>
      <c r="AA105" s="476"/>
      <c r="AB105" s="476"/>
      <c r="AC105" s="476"/>
      <c r="AD105" s="476"/>
      <c r="AE105" s="476"/>
    </row>
    <row r="106" spans="1:31" ht="18.75" customHeight="1" x14ac:dyDescent="0.3">
      <c r="A106" s="743"/>
      <c r="B106" s="484"/>
      <c r="C106" s="484"/>
      <c r="D106" s="152" t="s">
        <v>239</v>
      </c>
      <c r="E106" s="153">
        <f>SUM(E92-E104)-20000</f>
        <v>963457.01999999979</v>
      </c>
      <c r="F106" s="153">
        <f>SUM(F92-F104)+100000</f>
        <v>70000</v>
      </c>
      <c r="G106" s="153">
        <f>SUM(G92-G104)</f>
        <v>0</v>
      </c>
      <c r="H106" s="153">
        <f>SUM(H92-H104)</f>
        <v>0</v>
      </c>
      <c r="I106" s="153">
        <f>SUM(I92-I104)+600000</f>
        <v>2655000</v>
      </c>
      <c r="J106" s="153">
        <f>SUM(J92-J104)+18300</f>
        <v>50800</v>
      </c>
      <c r="K106" s="153">
        <f>SUM(K92-K104)-16700</f>
        <v>43400</v>
      </c>
      <c r="L106" s="787">
        <f t="shared" si="22"/>
        <v>3782657.0199999996</v>
      </c>
      <c r="O106" s="951"/>
      <c r="P106" s="765"/>
      <c r="Q106" s="769"/>
      <c r="R106" s="55"/>
      <c r="S106" s="55"/>
      <c r="T106" s="395"/>
      <c r="U106" s="37"/>
      <c r="V106" s="37"/>
      <c r="W106" s="37"/>
      <c r="X106" s="476"/>
      <c r="Y106" s="476"/>
      <c r="Z106" s="476"/>
      <c r="AA106" s="476"/>
      <c r="AB106" s="476"/>
      <c r="AC106" s="476"/>
      <c r="AD106" s="476"/>
      <c r="AE106" s="476"/>
    </row>
    <row r="107" spans="1:31" ht="18.75" customHeight="1" x14ac:dyDescent="0.3">
      <c r="A107" s="1035" t="s">
        <v>240</v>
      </c>
      <c r="B107" s="42"/>
      <c r="C107" s="955"/>
      <c r="D107" s="41"/>
      <c r="E107" s="684"/>
      <c r="F107" s="37"/>
      <c r="G107" s="684"/>
      <c r="H107" s="37"/>
      <c r="I107" s="684"/>
      <c r="J107" s="37"/>
      <c r="K107" s="684"/>
      <c r="L107" s="1036">
        <f t="shared" si="22"/>
        <v>0</v>
      </c>
      <c r="O107" s="873"/>
      <c r="P107" s="764"/>
      <c r="Q107" s="769"/>
      <c r="R107" s="37"/>
      <c r="S107" s="37"/>
      <c r="T107" s="395"/>
      <c r="U107" s="37"/>
      <c r="V107" s="37"/>
      <c r="W107" s="37"/>
      <c r="X107" s="476"/>
      <c r="Y107" s="476"/>
      <c r="Z107" s="476"/>
      <c r="AA107" s="476"/>
      <c r="AB107" s="476"/>
      <c r="AC107" s="476"/>
      <c r="AD107" s="476"/>
      <c r="AE107" s="476"/>
    </row>
    <row r="108" spans="1:31" ht="18.75" customHeight="1" x14ac:dyDescent="0.3">
      <c r="A108" s="957"/>
      <c r="B108" s="42"/>
      <c r="C108" s="955"/>
      <c r="D108" s="34"/>
      <c r="E108" s="684"/>
      <c r="F108" s="37"/>
      <c r="G108" s="684"/>
      <c r="H108" s="37"/>
      <c r="I108" s="684"/>
      <c r="J108" s="37"/>
      <c r="K108" s="684"/>
      <c r="L108" s="807">
        <f t="shared" si="22"/>
        <v>0</v>
      </c>
      <c r="O108" s="873"/>
      <c r="P108" s="764"/>
      <c r="Q108" s="769">
        <f t="shared" ref="Q108:Q113" si="36">L108-O108-P108</f>
        <v>0</v>
      </c>
      <c r="R108" s="870"/>
      <c r="S108" s="870"/>
      <c r="T108" s="882"/>
      <c r="U108" s="870"/>
      <c r="V108" s="870"/>
      <c r="W108" s="870"/>
      <c r="X108" s="870"/>
      <c r="Y108" s="870"/>
      <c r="Z108" s="870"/>
      <c r="AA108" s="870"/>
      <c r="AB108" s="870"/>
      <c r="AC108" s="870"/>
      <c r="AD108" s="870"/>
      <c r="AE108" s="870"/>
    </row>
    <row r="109" spans="1:31" ht="18.75" customHeight="1" x14ac:dyDescent="0.3">
      <c r="A109" s="957"/>
      <c r="B109" s="42"/>
      <c r="C109" s="955"/>
      <c r="D109" s="41"/>
      <c r="E109" s="684"/>
      <c r="F109" s="37"/>
      <c r="G109" s="684"/>
      <c r="H109" s="37"/>
      <c r="I109" s="684"/>
      <c r="J109" s="37"/>
      <c r="K109" s="684"/>
      <c r="L109" s="807">
        <f t="shared" si="22"/>
        <v>0</v>
      </c>
      <c r="O109" s="873"/>
      <c r="P109" s="764"/>
      <c r="Q109" s="769">
        <f t="shared" si="36"/>
        <v>0</v>
      </c>
      <c r="R109" s="870"/>
      <c r="S109" s="870"/>
      <c r="T109" s="882"/>
      <c r="U109" s="870"/>
      <c r="V109" s="870"/>
      <c r="W109" s="870"/>
      <c r="X109" s="870"/>
      <c r="Y109" s="870"/>
      <c r="Z109" s="870"/>
      <c r="AA109" s="870"/>
      <c r="AB109" s="870"/>
      <c r="AC109" s="870"/>
      <c r="AD109" s="870"/>
      <c r="AE109" s="870"/>
    </row>
    <row r="110" spans="1:31" ht="18.75" customHeight="1" x14ac:dyDescent="0.3">
      <c r="A110" s="957"/>
      <c r="B110" s="42"/>
      <c r="C110" s="955"/>
      <c r="D110" s="34"/>
      <c r="E110" s="684"/>
      <c r="F110" s="37"/>
      <c r="G110" s="684"/>
      <c r="H110" s="37"/>
      <c r="I110" s="684"/>
      <c r="J110" s="37"/>
      <c r="K110" s="684"/>
      <c r="L110" s="807">
        <f t="shared" si="22"/>
        <v>0</v>
      </c>
      <c r="O110" s="873"/>
      <c r="P110" s="765"/>
      <c r="Q110" s="769">
        <f t="shared" si="36"/>
        <v>0</v>
      </c>
      <c r="R110" s="870"/>
      <c r="S110" s="870"/>
      <c r="T110" s="882"/>
      <c r="U110" s="870"/>
      <c r="V110" s="870"/>
      <c r="W110" s="870"/>
      <c r="X110" s="870"/>
      <c r="Y110" s="870"/>
      <c r="Z110" s="870"/>
      <c r="AA110" s="870"/>
      <c r="AB110" s="870"/>
      <c r="AC110" s="870"/>
      <c r="AD110" s="870"/>
      <c r="AE110" s="870"/>
    </row>
    <row r="111" spans="1:31" ht="18.75" customHeight="1" x14ac:dyDescent="0.3">
      <c r="A111" s="957"/>
      <c r="B111" s="42"/>
      <c r="C111" s="955"/>
      <c r="D111" s="41"/>
      <c r="E111" s="684"/>
      <c r="F111" s="37"/>
      <c r="G111" s="684"/>
      <c r="H111" s="37"/>
      <c r="I111" s="684"/>
      <c r="J111" s="37"/>
      <c r="K111" s="684"/>
      <c r="L111" s="807">
        <f t="shared" si="22"/>
        <v>0</v>
      </c>
      <c r="O111" s="873"/>
      <c r="P111" s="764"/>
      <c r="Q111" s="769">
        <f t="shared" si="36"/>
        <v>0</v>
      </c>
      <c r="R111" s="870"/>
      <c r="S111" s="870"/>
      <c r="T111" s="882"/>
      <c r="U111" s="870"/>
      <c r="V111" s="870"/>
      <c r="W111" s="870"/>
      <c r="X111" s="870"/>
      <c r="Y111" s="870"/>
      <c r="Z111" s="870"/>
      <c r="AA111" s="870"/>
      <c r="AB111" s="870"/>
      <c r="AC111" s="870"/>
      <c r="AD111" s="870"/>
      <c r="AE111" s="870"/>
    </row>
    <row r="112" spans="1:31" ht="18.75" customHeight="1" x14ac:dyDescent="0.3">
      <c r="A112" s="957"/>
      <c r="B112" s="42"/>
      <c r="C112" s="840"/>
      <c r="D112" s="34"/>
      <c r="E112" s="684"/>
      <c r="F112" s="37"/>
      <c r="G112" s="684"/>
      <c r="H112" s="37"/>
      <c r="I112" s="684"/>
      <c r="J112" s="37"/>
      <c r="K112" s="684"/>
      <c r="L112" s="807">
        <f t="shared" si="22"/>
        <v>0</v>
      </c>
      <c r="O112" s="873"/>
      <c r="P112" s="764"/>
      <c r="Q112" s="769">
        <f t="shared" si="36"/>
        <v>0</v>
      </c>
      <c r="R112" s="870"/>
      <c r="S112" s="870"/>
      <c r="T112" s="882"/>
      <c r="U112" s="870"/>
      <c r="V112" s="870"/>
      <c r="W112" s="870"/>
      <c r="X112" s="870"/>
      <c r="Y112" s="870"/>
      <c r="Z112" s="870"/>
      <c r="AA112" s="870"/>
      <c r="AB112" s="870"/>
      <c r="AC112" s="870"/>
      <c r="AD112" s="870"/>
      <c r="AE112" s="870"/>
    </row>
    <row r="113" spans="1:31" ht="18.75" customHeight="1" x14ac:dyDescent="0.3">
      <c r="A113" s="957"/>
      <c r="B113" s="42"/>
      <c r="C113" s="955"/>
      <c r="D113" s="41"/>
      <c r="E113" s="684"/>
      <c r="F113" s="37"/>
      <c r="G113" s="684"/>
      <c r="H113" s="37"/>
      <c r="I113" s="684"/>
      <c r="J113" s="37"/>
      <c r="K113" s="684"/>
      <c r="L113" s="807">
        <f t="shared" si="22"/>
        <v>0</v>
      </c>
      <c r="O113" s="873"/>
      <c r="P113" s="764"/>
      <c r="Q113" s="769">
        <f t="shared" si="36"/>
        <v>0</v>
      </c>
      <c r="R113" s="870"/>
      <c r="S113" s="870"/>
      <c r="T113" s="882"/>
      <c r="U113" s="870"/>
      <c r="V113" s="870"/>
      <c r="W113" s="870"/>
      <c r="X113" s="870"/>
      <c r="Y113" s="870"/>
      <c r="Z113" s="870"/>
      <c r="AA113" s="870"/>
      <c r="AB113" s="870"/>
      <c r="AC113" s="870"/>
      <c r="AD113" s="870"/>
      <c r="AE113" s="870"/>
    </row>
    <row r="114" spans="1:31" ht="18.75" customHeight="1" x14ac:dyDescent="0.3">
      <c r="A114" s="957"/>
      <c r="B114" s="42"/>
      <c r="C114" s="955"/>
      <c r="D114" s="140"/>
      <c r="E114" s="1080"/>
      <c r="F114" s="37"/>
      <c r="G114" s="684"/>
      <c r="H114" s="37"/>
      <c r="I114" s="684"/>
      <c r="J114" s="37"/>
      <c r="K114" s="684"/>
      <c r="L114" s="807">
        <f t="shared" si="22"/>
        <v>0</v>
      </c>
      <c r="O114" s="873"/>
      <c r="P114" s="764"/>
      <c r="Q114" s="769">
        <v>0</v>
      </c>
      <c r="R114" s="870"/>
      <c r="S114" s="870"/>
      <c r="T114" s="882"/>
      <c r="U114" s="870"/>
      <c r="V114" s="870"/>
      <c r="W114" s="870"/>
      <c r="X114" s="870"/>
      <c r="Y114" s="870"/>
      <c r="Z114" s="870"/>
      <c r="AA114" s="870"/>
      <c r="AB114" s="870"/>
      <c r="AC114" s="870"/>
      <c r="AD114" s="870"/>
      <c r="AE114" s="870"/>
    </row>
    <row r="115" spans="1:31" ht="18.75" customHeight="1" x14ac:dyDescent="0.3">
      <c r="A115" s="957"/>
      <c r="B115" s="42"/>
      <c r="C115" s="955"/>
      <c r="D115" s="41"/>
      <c r="E115" s="684"/>
      <c r="F115" s="37"/>
      <c r="G115" s="684"/>
      <c r="H115" s="37"/>
      <c r="I115" s="684"/>
      <c r="J115" s="37"/>
      <c r="K115" s="684"/>
      <c r="L115" s="807">
        <f t="shared" si="22"/>
        <v>0</v>
      </c>
      <c r="O115" s="873"/>
      <c r="P115" s="764"/>
      <c r="Q115" s="769">
        <f t="shared" ref="Q115:Q117" si="37">L115-O115-P115</f>
        <v>0</v>
      </c>
      <c r="R115" s="870"/>
      <c r="S115" s="870"/>
      <c r="T115" s="882"/>
      <c r="U115" s="870"/>
      <c r="V115" s="870"/>
      <c r="W115" s="870"/>
      <c r="X115" s="870"/>
      <c r="Y115" s="870"/>
      <c r="Z115" s="870"/>
      <c r="AA115" s="870"/>
      <c r="AB115" s="870"/>
      <c r="AC115" s="870"/>
      <c r="AD115" s="870"/>
      <c r="AE115" s="870"/>
    </row>
    <row r="116" spans="1:31" ht="18.75" customHeight="1" x14ac:dyDescent="0.3">
      <c r="A116" s="957"/>
      <c r="B116" s="38"/>
      <c r="C116" s="1071"/>
      <c r="D116" s="40"/>
      <c r="E116" s="684"/>
      <c r="F116" s="37"/>
      <c r="G116" s="684"/>
      <c r="H116" s="37"/>
      <c r="I116" s="684"/>
      <c r="J116" s="37"/>
      <c r="K116" s="684"/>
      <c r="L116" s="807">
        <f t="shared" si="22"/>
        <v>0</v>
      </c>
      <c r="O116" s="873"/>
      <c r="P116" s="764"/>
      <c r="Q116" s="769">
        <f t="shared" si="37"/>
        <v>0</v>
      </c>
      <c r="R116" s="870"/>
      <c r="S116" s="870"/>
      <c r="T116" s="882"/>
      <c r="U116" s="870"/>
      <c r="V116" s="870"/>
      <c r="W116" s="870"/>
      <c r="X116" s="870"/>
      <c r="Y116" s="870"/>
      <c r="Z116" s="870"/>
      <c r="AA116" s="870"/>
      <c r="AB116" s="870"/>
      <c r="AC116" s="870"/>
      <c r="AD116" s="870"/>
      <c r="AE116" s="870"/>
    </row>
    <row r="117" spans="1:31" ht="18.75" customHeight="1" x14ac:dyDescent="0.3">
      <c r="A117" s="957"/>
      <c r="B117" s="42"/>
      <c r="C117" s="955"/>
      <c r="D117" s="41"/>
      <c r="E117" s="684"/>
      <c r="F117" s="37"/>
      <c r="G117" s="684"/>
      <c r="H117" s="37"/>
      <c r="I117" s="684"/>
      <c r="J117" s="37"/>
      <c r="K117" s="684"/>
      <c r="L117" s="807">
        <f t="shared" si="22"/>
        <v>0</v>
      </c>
      <c r="O117" s="873"/>
      <c r="P117" s="764"/>
      <c r="Q117" s="769">
        <f t="shared" si="37"/>
        <v>0</v>
      </c>
      <c r="R117" s="870"/>
      <c r="S117" s="870"/>
      <c r="T117" s="882"/>
      <c r="U117" s="883"/>
      <c r="V117" s="883"/>
      <c r="W117" s="883"/>
      <c r="X117" s="883"/>
      <c r="Y117" s="883"/>
      <c r="Z117" s="883"/>
      <c r="AA117" s="883"/>
      <c r="AB117" s="883"/>
      <c r="AC117" s="883"/>
      <c r="AD117" s="883"/>
      <c r="AE117" s="883"/>
    </row>
    <row r="118" spans="1:31" ht="18.75" customHeight="1" x14ac:dyDescent="0.3">
      <c r="A118" s="742"/>
      <c r="B118" s="482"/>
      <c r="C118" s="482"/>
      <c r="D118" s="149" t="s">
        <v>241</v>
      </c>
      <c r="E118" s="150">
        <f t="shared" ref="E118:K118" si="38">SUM(E107:E117)</f>
        <v>0</v>
      </c>
      <c r="F118" s="150">
        <f t="shared" si="38"/>
        <v>0</v>
      </c>
      <c r="G118" s="150">
        <f t="shared" si="38"/>
        <v>0</v>
      </c>
      <c r="H118" s="150">
        <f t="shared" si="38"/>
        <v>0</v>
      </c>
      <c r="I118" s="150">
        <f t="shared" si="38"/>
        <v>0</v>
      </c>
      <c r="J118" s="150">
        <f t="shared" si="38"/>
        <v>0</v>
      </c>
      <c r="K118" s="150">
        <f t="shared" si="38"/>
        <v>0</v>
      </c>
      <c r="L118" s="786">
        <f t="shared" si="22"/>
        <v>0</v>
      </c>
      <c r="O118" s="951"/>
      <c r="P118" s="765"/>
      <c r="Q118" s="769"/>
      <c r="R118" s="55"/>
      <c r="S118" s="55"/>
      <c r="T118" s="395"/>
      <c r="U118" s="37"/>
      <c r="V118" s="37"/>
      <c r="W118" s="37"/>
      <c r="X118" s="476"/>
      <c r="Y118" s="476"/>
      <c r="Z118" s="476"/>
      <c r="AA118" s="476"/>
      <c r="AB118" s="476"/>
      <c r="AC118" s="476"/>
      <c r="AD118" s="476"/>
      <c r="AE118" s="476"/>
    </row>
    <row r="119" spans="1:31" ht="18.75" customHeight="1" x14ac:dyDescent="0.3">
      <c r="A119" s="742"/>
      <c r="B119" s="482"/>
      <c r="C119" s="482"/>
      <c r="D119" s="149" t="s">
        <v>242</v>
      </c>
      <c r="E119" s="150">
        <f t="shared" ref="E119:K119" si="39">SUM(E105+E118)</f>
        <v>716542.98</v>
      </c>
      <c r="F119" s="150">
        <f t="shared" si="39"/>
        <v>180000</v>
      </c>
      <c r="G119" s="150">
        <f t="shared" si="39"/>
        <v>0</v>
      </c>
      <c r="H119" s="150">
        <f t="shared" si="39"/>
        <v>0</v>
      </c>
      <c r="I119" s="150">
        <f t="shared" si="39"/>
        <v>0</v>
      </c>
      <c r="J119" s="150">
        <f t="shared" si="39"/>
        <v>0</v>
      </c>
      <c r="K119" s="150">
        <f t="shared" si="39"/>
        <v>9900</v>
      </c>
      <c r="L119" s="786">
        <f t="shared" si="22"/>
        <v>906442.98</v>
      </c>
      <c r="O119" s="951"/>
      <c r="P119" s="765"/>
      <c r="Q119" s="769"/>
      <c r="R119" s="55"/>
      <c r="S119" s="55"/>
      <c r="T119" s="395"/>
      <c r="U119" s="37"/>
      <c r="V119" s="488"/>
      <c r="W119" s="488"/>
      <c r="X119" s="489"/>
      <c r="Y119" s="489"/>
      <c r="Z119" s="489"/>
      <c r="AA119" s="489"/>
      <c r="AB119" s="489"/>
      <c r="AC119" s="489"/>
      <c r="AD119" s="489"/>
      <c r="AE119" s="489"/>
    </row>
    <row r="120" spans="1:31" ht="18.75" customHeight="1" x14ac:dyDescent="0.3">
      <c r="A120" s="743"/>
      <c r="B120" s="484"/>
      <c r="C120" s="484"/>
      <c r="D120" s="152" t="s">
        <v>243</v>
      </c>
      <c r="E120" s="153">
        <f t="shared" ref="E120:K120" si="40">SUM(E106-E118)</f>
        <v>963457.01999999979</v>
      </c>
      <c r="F120" s="153">
        <f t="shared" si="40"/>
        <v>70000</v>
      </c>
      <c r="G120" s="153">
        <f t="shared" si="40"/>
        <v>0</v>
      </c>
      <c r="H120" s="153">
        <f t="shared" si="40"/>
        <v>0</v>
      </c>
      <c r="I120" s="153">
        <f t="shared" si="40"/>
        <v>2655000</v>
      </c>
      <c r="J120" s="153">
        <f t="shared" si="40"/>
        <v>50800</v>
      </c>
      <c r="K120" s="153">
        <f t="shared" si="40"/>
        <v>43400</v>
      </c>
      <c r="L120" s="787">
        <f t="shared" si="22"/>
        <v>3782657.0199999996</v>
      </c>
      <c r="O120" s="951"/>
      <c r="P120" s="765"/>
      <c r="Q120" s="769"/>
      <c r="R120" s="55"/>
      <c r="S120" s="55"/>
      <c r="T120" s="395"/>
      <c r="U120" s="37"/>
      <c r="V120" s="37"/>
      <c r="W120" s="37"/>
      <c r="X120" s="476"/>
      <c r="Y120" s="476"/>
      <c r="Z120" s="476"/>
      <c r="AA120" s="476"/>
      <c r="AB120" s="476"/>
      <c r="AC120" s="476"/>
      <c r="AD120" s="476"/>
      <c r="AE120" s="476"/>
    </row>
    <row r="121" spans="1:31" ht="18.75" customHeight="1" x14ac:dyDescent="0.3">
      <c r="A121" s="1035" t="s">
        <v>244</v>
      </c>
      <c r="B121" s="42"/>
      <c r="C121" s="955"/>
      <c r="D121" s="41"/>
      <c r="E121" s="684"/>
      <c r="F121" s="37"/>
      <c r="G121" s="684"/>
      <c r="H121" s="37"/>
      <c r="I121" s="684"/>
      <c r="J121" s="37"/>
      <c r="K121" s="684"/>
      <c r="L121" s="1036">
        <f t="shared" si="22"/>
        <v>0</v>
      </c>
      <c r="O121" s="873"/>
      <c r="P121" s="764"/>
      <c r="Q121" s="769"/>
      <c r="R121" s="37"/>
      <c r="S121" s="37"/>
      <c r="T121" s="395"/>
      <c r="U121" s="37"/>
      <c r="V121" s="37"/>
      <c r="W121" s="37"/>
      <c r="X121" s="476"/>
      <c r="Y121" s="476"/>
      <c r="Z121" s="476"/>
      <c r="AA121" s="476"/>
      <c r="AB121" s="476"/>
      <c r="AC121" s="476"/>
      <c r="AD121" s="476"/>
      <c r="AE121" s="476"/>
    </row>
    <row r="122" spans="1:31" ht="18.75" customHeight="1" x14ac:dyDescent="0.3">
      <c r="A122" s="957"/>
      <c r="B122" s="42"/>
      <c r="C122" s="955"/>
      <c r="D122" s="34"/>
      <c r="E122" s="684"/>
      <c r="F122" s="37"/>
      <c r="G122" s="684"/>
      <c r="H122" s="37"/>
      <c r="I122" s="684"/>
      <c r="J122" s="37"/>
      <c r="K122" s="684"/>
      <c r="L122" s="807">
        <f t="shared" si="22"/>
        <v>0</v>
      </c>
      <c r="O122" s="873"/>
      <c r="P122" s="764"/>
      <c r="Q122" s="769">
        <f t="shared" ref="Q122:Q127" si="41">L122-O122-P122</f>
        <v>0</v>
      </c>
      <c r="R122" s="870"/>
      <c r="S122" s="870"/>
      <c r="T122" s="882"/>
      <c r="U122" s="870"/>
      <c r="V122" s="870"/>
      <c r="W122" s="870"/>
      <c r="X122" s="870"/>
      <c r="Y122" s="870"/>
      <c r="Z122" s="870"/>
      <c r="AA122" s="870"/>
      <c r="AB122" s="870"/>
      <c r="AC122" s="870"/>
      <c r="AD122" s="870"/>
      <c r="AE122" s="870"/>
    </row>
    <row r="123" spans="1:31" ht="18.75" customHeight="1" x14ac:dyDescent="0.3">
      <c r="A123" s="957"/>
      <c r="B123" s="42"/>
      <c r="C123" s="955"/>
      <c r="D123" s="41"/>
      <c r="E123" s="684"/>
      <c r="F123" s="37"/>
      <c r="G123" s="684"/>
      <c r="H123" s="37"/>
      <c r="I123" s="684"/>
      <c r="J123" s="37"/>
      <c r="K123" s="684"/>
      <c r="L123" s="807">
        <f t="shared" si="22"/>
        <v>0</v>
      </c>
      <c r="O123" s="873"/>
      <c r="P123" s="764"/>
      <c r="Q123" s="769">
        <f t="shared" si="41"/>
        <v>0</v>
      </c>
      <c r="R123" s="870"/>
      <c r="S123" s="870"/>
      <c r="T123" s="882"/>
      <c r="U123" s="870"/>
      <c r="V123" s="870"/>
      <c r="W123" s="870"/>
      <c r="X123" s="870"/>
      <c r="Y123" s="870"/>
      <c r="Z123" s="870"/>
      <c r="AA123" s="870"/>
      <c r="AB123" s="870"/>
      <c r="AC123" s="870"/>
      <c r="AD123" s="870"/>
      <c r="AE123" s="870"/>
    </row>
    <row r="124" spans="1:31" ht="18.75" customHeight="1" x14ac:dyDescent="0.3">
      <c r="A124" s="957"/>
      <c r="B124" s="42"/>
      <c r="C124" s="955"/>
      <c r="D124" s="34"/>
      <c r="E124" s="684"/>
      <c r="F124" s="37"/>
      <c r="G124" s="684"/>
      <c r="H124" s="37"/>
      <c r="I124" s="684"/>
      <c r="J124" s="37"/>
      <c r="K124" s="684"/>
      <c r="L124" s="807">
        <f t="shared" si="22"/>
        <v>0</v>
      </c>
      <c r="O124" s="873"/>
      <c r="P124" s="765"/>
      <c r="Q124" s="769">
        <f t="shared" si="41"/>
        <v>0</v>
      </c>
      <c r="R124" s="870"/>
      <c r="S124" s="870"/>
      <c r="T124" s="882"/>
      <c r="U124" s="870"/>
      <c r="V124" s="870"/>
      <c r="W124" s="870"/>
      <c r="X124" s="870"/>
      <c r="Y124" s="870"/>
      <c r="Z124" s="870"/>
      <c r="AA124" s="870"/>
      <c r="AB124" s="870"/>
      <c r="AC124" s="870"/>
      <c r="AD124" s="870"/>
      <c r="AE124" s="870"/>
    </row>
    <row r="125" spans="1:31" ht="18.75" customHeight="1" x14ac:dyDescent="0.3">
      <c r="A125" s="957"/>
      <c r="B125" s="42"/>
      <c r="C125" s="955"/>
      <c r="D125" s="41"/>
      <c r="E125" s="684"/>
      <c r="F125" s="37"/>
      <c r="G125" s="684"/>
      <c r="H125" s="37"/>
      <c r="I125" s="684"/>
      <c r="J125" s="37"/>
      <c r="K125" s="684"/>
      <c r="L125" s="807">
        <f t="shared" si="22"/>
        <v>0</v>
      </c>
      <c r="O125" s="873"/>
      <c r="P125" s="764"/>
      <c r="Q125" s="769">
        <f t="shared" si="41"/>
        <v>0</v>
      </c>
      <c r="R125" s="870"/>
      <c r="S125" s="870"/>
      <c r="T125" s="882"/>
      <c r="U125" s="870"/>
      <c r="V125" s="870"/>
      <c r="W125" s="870"/>
      <c r="X125" s="870"/>
      <c r="Y125" s="870"/>
      <c r="Z125" s="870"/>
      <c r="AA125" s="870"/>
      <c r="AB125" s="870"/>
      <c r="AC125" s="870"/>
      <c r="AD125" s="870"/>
      <c r="AE125" s="870"/>
    </row>
    <row r="126" spans="1:31" ht="18.75" customHeight="1" x14ac:dyDescent="0.3">
      <c r="A126" s="957"/>
      <c r="B126" s="42"/>
      <c r="C126" s="840"/>
      <c r="D126" s="34"/>
      <c r="E126" s="684"/>
      <c r="F126" s="37"/>
      <c r="G126" s="684"/>
      <c r="H126" s="37"/>
      <c r="I126" s="684"/>
      <c r="J126" s="37"/>
      <c r="K126" s="684"/>
      <c r="L126" s="807">
        <f t="shared" si="22"/>
        <v>0</v>
      </c>
      <c r="O126" s="873"/>
      <c r="P126" s="764"/>
      <c r="Q126" s="769">
        <f t="shared" si="41"/>
        <v>0</v>
      </c>
      <c r="R126" s="870"/>
      <c r="S126" s="870"/>
      <c r="T126" s="882"/>
      <c r="U126" s="870"/>
      <c r="V126" s="870"/>
      <c r="W126" s="870"/>
      <c r="X126" s="870"/>
      <c r="Y126" s="870"/>
      <c r="Z126" s="870"/>
      <c r="AA126" s="870"/>
      <c r="AB126" s="870"/>
      <c r="AC126" s="870"/>
      <c r="AD126" s="870"/>
      <c r="AE126" s="870"/>
    </row>
    <row r="127" spans="1:31" ht="18.75" customHeight="1" x14ac:dyDescent="0.3">
      <c r="A127" s="957"/>
      <c r="B127" s="42"/>
      <c r="C127" s="955"/>
      <c r="D127" s="41"/>
      <c r="E127" s="684"/>
      <c r="F127" s="37"/>
      <c r="G127" s="684"/>
      <c r="H127" s="37"/>
      <c r="I127" s="684"/>
      <c r="J127" s="37"/>
      <c r="K127" s="684"/>
      <c r="L127" s="807">
        <f t="shared" si="22"/>
        <v>0</v>
      </c>
      <c r="O127" s="873"/>
      <c r="P127" s="764"/>
      <c r="Q127" s="769">
        <f t="shared" si="41"/>
        <v>0</v>
      </c>
      <c r="R127" s="870"/>
      <c r="S127" s="870"/>
      <c r="T127" s="882"/>
      <c r="U127" s="870"/>
      <c r="V127" s="870"/>
      <c r="W127" s="870"/>
      <c r="X127" s="870"/>
      <c r="Y127" s="870"/>
      <c r="Z127" s="870"/>
      <c r="AA127" s="870"/>
      <c r="AB127" s="870"/>
      <c r="AC127" s="870"/>
      <c r="AD127" s="870"/>
      <c r="AE127" s="870"/>
    </row>
    <row r="128" spans="1:31" ht="18.75" customHeight="1" x14ac:dyDescent="0.3">
      <c r="A128" s="957"/>
      <c r="B128" s="42"/>
      <c r="C128" s="955"/>
      <c r="D128" s="140"/>
      <c r="E128" s="1080"/>
      <c r="F128" s="37"/>
      <c r="G128" s="684"/>
      <c r="H128" s="37"/>
      <c r="I128" s="684"/>
      <c r="J128" s="37"/>
      <c r="K128" s="684"/>
      <c r="L128" s="807">
        <f t="shared" si="22"/>
        <v>0</v>
      </c>
      <c r="O128" s="873"/>
      <c r="P128" s="764"/>
      <c r="Q128" s="769">
        <v>0</v>
      </c>
      <c r="R128" s="870"/>
      <c r="S128" s="870"/>
      <c r="T128" s="882"/>
      <c r="U128" s="870"/>
      <c r="V128" s="870"/>
      <c r="W128" s="870"/>
      <c r="X128" s="870"/>
      <c r="Y128" s="870"/>
      <c r="Z128" s="870"/>
      <c r="AA128" s="870"/>
      <c r="AB128" s="870"/>
      <c r="AC128" s="870"/>
      <c r="AD128" s="870"/>
      <c r="AE128" s="870"/>
    </row>
    <row r="129" spans="1:31" ht="18.75" customHeight="1" x14ac:dyDescent="0.3">
      <c r="A129" s="957"/>
      <c r="B129" s="42"/>
      <c r="C129" s="955"/>
      <c r="D129" s="41"/>
      <c r="E129" s="684"/>
      <c r="F129" s="37"/>
      <c r="G129" s="684"/>
      <c r="H129" s="37"/>
      <c r="I129" s="684"/>
      <c r="J129" s="37"/>
      <c r="K129" s="684"/>
      <c r="L129" s="807">
        <f t="shared" si="22"/>
        <v>0</v>
      </c>
      <c r="O129" s="873"/>
      <c r="P129" s="764"/>
      <c r="Q129" s="769">
        <f t="shared" ref="Q129:Q131" si="42">L129-O129-P129</f>
        <v>0</v>
      </c>
      <c r="R129" s="870"/>
      <c r="S129" s="870"/>
      <c r="T129" s="882"/>
      <c r="U129" s="870"/>
      <c r="V129" s="870"/>
      <c r="W129" s="870"/>
      <c r="X129" s="870"/>
      <c r="Y129" s="870"/>
      <c r="Z129" s="870"/>
      <c r="AA129" s="870"/>
      <c r="AB129" s="870"/>
      <c r="AC129" s="870"/>
      <c r="AD129" s="870"/>
      <c r="AE129" s="870"/>
    </row>
    <row r="130" spans="1:31" ht="18.75" customHeight="1" x14ac:dyDescent="0.3">
      <c r="A130" s="957"/>
      <c r="B130" s="38"/>
      <c r="C130" s="1071"/>
      <c r="D130" s="40"/>
      <c r="E130" s="684"/>
      <c r="F130" s="37"/>
      <c r="G130" s="684"/>
      <c r="H130" s="37"/>
      <c r="I130" s="684"/>
      <c r="J130" s="37"/>
      <c r="K130" s="684"/>
      <c r="L130" s="807">
        <f t="shared" si="22"/>
        <v>0</v>
      </c>
      <c r="O130" s="873"/>
      <c r="P130" s="764"/>
      <c r="Q130" s="769">
        <f t="shared" si="42"/>
        <v>0</v>
      </c>
      <c r="R130" s="870"/>
      <c r="S130" s="870"/>
      <c r="T130" s="882"/>
      <c r="U130" s="870"/>
      <c r="V130" s="870"/>
      <c r="W130" s="870"/>
      <c r="X130" s="870"/>
      <c r="Y130" s="870"/>
      <c r="Z130" s="870"/>
      <c r="AA130" s="870"/>
      <c r="AB130" s="870"/>
      <c r="AC130" s="870"/>
      <c r="AD130" s="870"/>
      <c r="AE130" s="870"/>
    </row>
    <row r="131" spans="1:31" ht="18.75" customHeight="1" x14ac:dyDescent="0.3">
      <c r="A131" s="957"/>
      <c r="B131" s="42"/>
      <c r="C131" s="955"/>
      <c r="D131" s="41"/>
      <c r="E131" s="684"/>
      <c r="F131" s="37"/>
      <c r="G131" s="684"/>
      <c r="H131" s="37"/>
      <c r="I131" s="684"/>
      <c r="J131" s="37"/>
      <c r="K131" s="684"/>
      <c r="L131" s="807">
        <f t="shared" si="22"/>
        <v>0</v>
      </c>
      <c r="O131" s="873"/>
      <c r="P131" s="764"/>
      <c r="Q131" s="769">
        <f t="shared" si="42"/>
        <v>0</v>
      </c>
      <c r="R131" s="870"/>
      <c r="S131" s="870"/>
      <c r="T131" s="882"/>
      <c r="U131" s="883"/>
      <c r="V131" s="883"/>
      <c r="W131" s="883"/>
      <c r="X131" s="883"/>
      <c r="Y131" s="883"/>
      <c r="Z131" s="883"/>
      <c r="AA131" s="883"/>
      <c r="AB131" s="883"/>
      <c r="AC131" s="883"/>
      <c r="AD131" s="883"/>
      <c r="AE131" s="883"/>
    </row>
    <row r="132" spans="1:31" ht="18.75" customHeight="1" x14ac:dyDescent="0.3">
      <c r="A132" s="742"/>
      <c r="B132" s="482"/>
      <c r="C132" s="482"/>
      <c r="D132" s="149" t="s">
        <v>245</v>
      </c>
      <c r="E132" s="150">
        <f t="shared" ref="E132:K132" si="43">SUM(E121:E131)</f>
        <v>0</v>
      </c>
      <c r="F132" s="150">
        <f t="shared" si="43"/>
        <v>0</v>
      </c>
      <c r="G132" s="150">
        <f t="shared" si="43"/>
        <v>0</v>
      </c>
      <c r="H132" s="150">
        <f t="shared" si="43"/>
        <v>0</v>
      </c>
      <c r="I132" s="150">
        <f t="shared" si="43"/>
        <v>0</v>
      </c>
      <c r="J132" s="150">
        <f t="shared" si="43"/>
        <v>0</v>
      </c>
      <c r="K132" s="150">
        <f t="shared" si="43"/>
        <v>0</v>
      </c>
      <c r="L132" s="786">
        <f t="shared" si="22"/>
        <v>0</v>
      </c>
      <c r="O132" s="951"/>
      <c r="P132" s="765"/>
      <c r="Q132" s="769"/>
      <c r="R132" s="55"/>
      <c r="S132" s="55"/>
      <c r="T132" s="395"/>
      <c r="U132" s="37"/>
      <c r="V132" s="37"/>
      <c r="W132" s="37"/>
      <c r="X132" s="476"/>
      <c r="Y132" s="476"/>
      <c r="Z132" s="476"/>
      <c r="AA132" s="476"/>
      <c r="AB132" s="476"/>
      <c r="AC132" s="476"/>
      <c r="AD132" s="476"/>
      <c r="AE132" s="476"/>
    </row>
    <row r="133" spans="1:31" ht="18.75" customHeight="1" x14ac:dyDescent="0.3">
      <c r="A133" s="742"/>
      <c r="B133" s="482"/>
      <c r="C133" s="482"/>
      <c r="D133" s="149" t="s">
        <v>246</v>
      </c>
      <c r="E133" s="150">
        <f t="shared" ref="E133:K133" si="44">SUM(E119+E132)</f>
        <v>716542.98</v>
      </c>
      <c r="F133" s="150">
        <f t="shared" si="44"/>
        <v>180000</v>
      </c>
      <c r="G133" s="150">
        <f t="shared" si="44"/>
        <v>0</v>
      </c>
      <c r="H133" s="150">
        <f t="shared" si="44"/>
        <v>0</v>
      </c>
      <c r="I133" s="150">
        <f t="shared" si="44"/>
        <v>0</v>
      </c>
      <c r="J133" s="150">
        <f t="shared" si="44"/>
        <v>0</v>
      </c>
      <c r="K133" s="150">
        <f t="shared" si="44"/>
        <v>9900</v>
      </c>
      <c r="L133" s="786">
        <f t="shared" si="22"/>
        <v>906442.98</v>
      </c>
      <c r="O133" s="951"/>
      <c r="P133" s="765"/>
      <c r="Q133" s="769"/>
      <c r="R133" s="55"/>
      <c r="S133" s="55"/>
      <c r="T133" s="395"/>
      <c r="U133" s="37"/>
      <c r="V133" s="37"/>
      <c r="W133" s="37"/>
      <c r="X133" s="476"/>
      <c r="Y133" s="476"/>
      <c r="Z133" s="476"/>
      <c r="AA133" s="476"/>
      <c r="AB133" s="476"/>
      <c r="AC133" s="476"/>
      <c r="AD133" s="476"/>
      <c r="AE133" s="476"/>
    </row>
    <row r="134" spans="1:31" ht="18.75" customHeight="1" x14ac:dyDescent="0.3">
      <c r="A134" s="743"/>
      <c r="B134" s="484"/>
      <c r="C134" s="484"/>
      <c r="D134" s="152" t="s">
        <v>247</v>
      </c>
      <c r="E134" s="153">
        <f t="shared" ref="E134:K134" si="45">SUM(E120-E132)</f>
        <v>963457.01999999979</v>
      </c>
      <c r="F134" s="153">
        <f t="shared" si="45"/>
        <v>70000</v>
      </c>
      <c r="G134" s="153">
        <f t="shared" si="45"/>
        <v>0</v>
      </c>
      <c r="H134" s="153">
        <f t="shared" si="45"/>
        <v>0</v>
      </c>
      <c r="I134" s="153">
        <f t="shared" si="45"/>
        <v>2655000</v>
      </c>
      <c r="J134" s="153">
        <f t="shared" si="45"/>
        <v>50800</v>
      </c>
      <c r="K134" s="153">
        <f t="shared" si="45"/>
        <v>43400</v>
      </c>
      <c r="L134" s="787">
        <f t="shared" si="22"/>
        <v>3782657.0199999996</v>
      </c>
      <c r="O134" s="951"/>
      <c r="P134" s="765"/>
      <c r="Q134" s="769"/>
      <c r="R134" s="55"/>
      <c r="S134" s="55"/>
      <c r="T134" s="395"/>
      <c r="U134" s="37"/>
      <c r="V134" s="37"/>
      <c r="W134" s="37"/>
      <c r="X134" s="476"/>
      <c r="Y134" s="476"/>
      <c r="Z134" s="476"/>
      <c r="AA134" s="476"/>
      <c r="AB134" s="476"/>
      <c r="AC134" s="476"/>
      <c r="AD134" s="476"/>
      <c r="AE134" s="476"/>
    </row>
    <row r="135" spans="1:31" ht="18.75" customHeight="1" x14ac:dyDescent="0.3">
      <c r="A135" s="1035" t="s">
        <v>248</v>
      </c>
      <c r="B135" s="42"/>
      <c r="C135" s="955"/>
      <c r="D135" s="41"/>
      <c r="E135" s="684"/>
      <c r="F135" s="37"/>
      <c r="G135" s="684"/>
      <c r="H135" s="37"/>
      <c r="I135" s="684"/>
      <c r="J135" s="37"/>
      <c r="K135" s="684"/>
      <c r="L135" s="1036">
        <f t="shared" si="22"/>
        <v>0</v>
      </c>
      <c r="O135" s="873"/>
      <c r="P135" s="764"/>
      <c r="Q135" s="769"/>
      <c r="R135" s="37"/>
      <c r="S135" s="37"/>
      <c r="T135" s="395"/>
      <c r="U135" s="37"/>
      <c r="V135" s="37"/>
      <c r="W135" s="37"/>
      <c r="X135" s="476"/>
      <c r="Y135" s="476"/>
      <c r="Z135" s="476"/>
      <c r="AA135" s="476"/>
      <c r="AB135" s="476"/>
      <c r="AC135" s="476"/>
      <c r="AD135" s="476"/>
      <c r="AE135" s="476"/>
    </row>
    <row r="136" spans="1:31" ht="18.75" customHeight="1" x14ac:dyDescent="0.3">
      <c r="A136" s="957"/>
      <c r="B136" s="42"/>
      <c r="C136" s="955"/>
      <c r="D136" s="34"/>
      <c r="E136" s="684"/>
      <c r="F136" s="37"/>
      <c r="G136" s="684"/>
      <c r="H136" s="37"/>
      <c r="I136" s="684"/>
      <c r="J136" s="37"/>
      <c r="K136" s="684"/>
      <c r="L136" s="807">
        <f t="shared" si="22"/>
        <v>0</v>
      </c>
      <c r="O136" s="873"/>
      <c r="P136" s="764"/>
      <c r="Q136" s="769">
        <f t="shared" ref="Q136:Q141" si="46">L136-O136-P136</f>
        <v>0</v>
      </c>
      <c r="R136" s="870"/>
      <c r="S136" s="870"/>
      <c r="T136" s="882"/>
      <c r="U136" s="870"/>
      <c r="V136" s="870"/>
      <c r="W136" s="870"/>
      <c r="X136" s="870"/>
      <c r="Y136" s="870"/>
      <c r="Z136" s="870"/>
      <c r="AA136" s="870"/>
      <c r="AB136" s="870"/>
      <c r="AC136" s="870"/>
      <c r="AD136" s="870"/>
      <c r="AE136" s="870"/>
    </row>
    <row r="137" spans="1:31" ht="18.75" customHeight="1" x14ac:dyDescent="0.3">
      <c r="A137" s="957"/>
      <c r="B137" s="42"/>
      <c r="C137" s="955"/>
      <c r="D137" s="41"/>
      <c r="E137" s="684"/>
      <c r="F137" s="37"/>
      <c r="G137" s="684"/>
      <c r="H137" s="37"/>
      <c r="I137" s="684"/>
      <c r="J137" s="37"/>
      <c r="K137" s="684"/>
      <c r="L137" s="807">
        <f t="shared" ref="L137:L173" si="47">SUM(E137:K137)</f>
        <v>0</v>
      </c>
      <c r="O137" s="873"/>
      <c r="P137" s="764"/>
      <c r="Q137" s="769">
        <f t="shared" si="46"/>
        <v>0</v>
      </c>
      <c r="R137" s="870"/>
      <c r="S137" s="870"/>
      <c r="T137" s="882"/>
      <c r="U137" s="870"/>
      <c r="V137" s="870"/>
      <c r="W137" s="870"/>
      <c r="X137" s="870"/>
      <c r="Y137" s="870"/>
      <c r="Z137" s="870"/>
      <c r="AA137" s="870"/>
      <c r="AB137" s="870"/>
      <c r="AC137" s="870"/>
      <c r="AD137" s="870"/>
      <c r="AE137" s="870"/>
    </row>
    <row r="138" spans="1:31" ht="18.75" customHeight="1" x14ac:dyDescent="0.3">
      <c r="A138" s="957"/>
      <c r="B138" s="42"/>
      <c r="C138" s="955"/>
      <c r="D138" s="34"/>
      <c r="E138" s="684"/>
      <c r="F138" s="37"/>
      <c r="G138" s="684"/>
      <c r="H138" s="37"/>
      <c r="I138" s="684"/>
      <c r="J138" s="37"/>
      <c r="K138" s="684"/>
      <c r="L138" s="807">
        <f t="shared" si="47"/>
        <v>0</v>
      </c>
      <c r="O138" s="873"/>
      <c r="P138" s="765"/>
      <c r="Q138" s="769">
        <f t="shared" si="46"/>
        <v>0</v>
      </c>
      <c r="R138" s="870"/>
      <c r="S138" s="870"/>
      <c r="T138" s="882"/>
      <c r="U138" s="870"/>
      <c r="V138" s="870"/>
      <c r="W138" s="870"/>
      <c r="X138" s="870"/>
      <c r="Y138" s="870"/>
      <c r="Z138" s="870"/>
      <c r="AA138" s="870"/>
      <c r="AB138" s="870"/>
      <c r="AC138" s="870"/>
      <c r="AD138" s="870"/>
      <c r="AE138" s="870"/>
    </row>
    <row r="139" spans="1:31" ht="18.75" customHeight="1" x14ac:dyDescent="0.3">
      <c r="A139" s="957"/>
      <c r="B139" s="42"/>
      <c r="C139" s="955"/>
      <c r="D139" s="41"/>
      <c r="E139" s="684"/>
      <c r="F139" s="37"/>
      <c r="G139" s="684"/>
      <c r="H139" s="37"/>
      <c r="I139" s="684"/>
      <c r="J139" s="37"/>
      <c r="K139" s="684"/>
      <c r="L139" s="807">
        <f t="shared" si="47"/>
        <v>0</v>
      </c>
      <c r="O139" s="873"/>
      <c r="P139" s="764"/>
      <c r="Q139" s="769">
        <f t="shared" si="46"/>
        <v>0</v>
      </c>
      <c r="R139" s="870"/>
      <c r="S139" s="870"/>
      <c r="T139" s="882"/>
      <c r="U139" s="870"/>
      <c r="V139" s="870"/>
      <c r="W139" s="870"/>
      <c r="X139" s="870"/>
      <c r="Y139" s="870"/>
      <c r="Z139" s="870"/>
      <c r="AA139" s="870"/>
      <c r="AB139" s="870"/>
      <c r="AC139" s="870"/>
      <c r="AD139" s="870"/>
      <c r="AE139" s="870"/>
    </row>
    <row r="140" spans="1:31" ht="18.75" customHeight="1" x14ac:dyDescent="0.3">
      <c r="A140" s="957"/>
      <c r="B140" s="42"/>
      <c r="C140" s="840"/>
      <c r="D140" s="34"/>
      <c r="E140" s="684"/>
      <c r="F140" s="37"/>
      <c r="G140" s="684"/>
      <c r="H140" s="37"/>
      <c r="I140" s="684"/>
      <c r="J140" s="37"/>
      <c r="K140" s="684"/>
      <c r="L140" s="807">
        <f t="shared" si="47"/>
        <v>0</v>
      </c>
      <c r="O140" s="873"/>
      <c r="P140" s="764"/>
      <c r="Q140" s="769">
        <f t="shared" si="46"/>
        <v>0</v>
      </c>
      <c r="R140" s="870"/>
      <c r="S140" s="870"/>
      <c r="T140" s="882"/>
      <c r="U140" s="870"/>
      <c r="V140" s="870"/>
      <c r="W140" s="870"/>
      <c r="X140" s="870"/>
      <c r="Y140" s="870"/>
      <c r="Z140" s="870"/>
      <c r="AA140" s="870"/>
      <c r="AB140" s="870"/>
      <c r="AC140" s="870"/>
      <c r="AD140" s="870"/>
      <c r="AE140" s="870"/>
    </row>
    <row r="141" spans="1:31" ht="18.75" customHeight="1" x14ac:dyDescent="0.3">
      <c r="A141" s="957"/>
      <c r="B141" s="42"/>
      <c r="C141" s="955"/>
      <c r="D141" s="41"/>
      <c r="E141" s="684"/>
      <c r="F141" s="37"/>
      <c r="G141" s="684"/>
      <c r="H141" s="37"/>
      <c r="I141" s="684"/>
      <c r="J141" s="37"/>
      <c r="K141" s="684"/>
      <c r="L141" s="807">
        <f t="shared" si="47"/>
        <v>0</v>
      </c>
      <c r="O141" s="873"/>
      <c r="P141" s="764"/>
      <c r="Q141" s="769">
        <f t="shared" si="46"/>
        <v>0</v>
      </c>
      <c r="R141" s="870"/>
      <c r="S141" s="870"/>
      <c r="T141" s="882"/>
      <c r="U141" s="870"/>
      <c r="V141" s="870"/>
      <c r="W141" s="870"/>
      <c r="X141" s="870"/>
      <c r="Y141" s="870"/>
      <c r="Z141" s="870"/>
      <c r="AA141" s="870"/>
      <c r="AB141" s="870"/>
      <c r="AC141" s="870"/>
      <c r="AD141" s="870"/>
      <c r="AE141" s="870"/>
    </row>
    <row r="142" spans="1:31" ht="18.75" customHeight="1" x14ac:dyDescent="0.3">
      <c r="A142" s="957"/>
      <c r="B142" s="42"/>
      <c r="C142" s="955"/>
      <c r="D142" s="140"/>
      <c r="E142" s="1080"/>
      <c r="F142" s="37"/>
      <c r="G142" s="684"/>
      <c r="H142" s="37"/>
      <c r="I142" s="684"/>
      <c r="J142" s="37"/>
      <c r="K142" s="684"/>
      <c r="L142" s="807">
        <f t="shared" si="47"/>
        <v>0</v>
      </c>
      <c r="O142" s="873"/>
      <c r="P142" s="764"/>
      <c r="Q142" s="769">
        <v>0</v>
      </c>
      <c r="R142" s="870"/>
      <c r="S142" s="870"/>
      <c r="T142" s="882"/>
      <c r="U142" s="870"/>
      <c r="V142" s="870"/>
      <c r="W142" s="870"/>
      <c r="X142" s="870"/>
      <c r="Y142" s="870"/>
      <c r="Z142" s="870"/>
      <c r="AA142" s="870"/>
      <c r="AB142" s="870"/>
      <c r="AC142" s="870"/>
      <c r="AD142" s="870"/>
      <c r="AE142" s="870"/>
    </row>
    <row r="143" spans="1:31" ht="18.75" customHeight="1" x14ac:dyDescent="0.3">
      <c r="A143" s="957"/>
      <c r="B143" s="42"/>
      <c r="C143" s="955"/>
      <c r="D143" s="41"/>
      <c r="E143" s="684"/>
      <c r="F143" s="37"/>
      <c r="G143" s="684"/>
      <c r="H143" s="37"/>
      <c r="I143" s="684"/>
      <c r="J143" s="37"/>
      <c r="K143" s="684"/>
      <c r="L143" s="807">
        <f t="shared" si="47"/>
        <v>0</v>
      </c>
      <c r="O143" s="873"/>
      <c r="P143" s="764"/>
      <c r="Q143" s="769">
        <f t="shared" ref="Q143:Q145" si="48">L143-O143-P143</f>
        <v>0</v>
      </c>
      <c r="R143" s="870"/>
      <c r="S143" s="870"/>
      <c r="T143" s="882"/>
      <c r="U143" s="870"/>
      <c r="V143" s="870"/>
      <c r="W143" s="870"/>
      <c r="X143" s="870"/>
      <c r="Y143" s="870"/>
      <c r="Z143" s="870"/>
      <c r="AA143" s="870"/>
      <c r="AB143" s="870"/>
      <c r="AC143" s="870"/>
      <c r="AD143" s="870"/>
      <c r="AE143" s="870"/>
    </row>
    <row r="144" spans="1:31" ht="18.75" customHeight="1" x14ac:dyDescent="0.3">
      <c r="A144" s="957"/>
      <c r="B144" s="38"/>
      <c r="C144" s="1071"/>
      <c r="D144" s="40"/>
      <c r="E144" s="684"/>
      <c r="F144" s="37"/>
      <c r="G144" s="684"/>
      <c r="H144" s="37"/>
      <c r="I144" s="684"/>
      <c r="J144" s="37"/>
      <c r="K144" s="684"/>
      <c r="L144" s="807">
        <f t="shared" si="47"/>
        <v>0</v>
      </c>
      <c r="O144" s="873"/>
      <c r="P144" s="764"/>
      <c r="Q144" s="769">
        <f t="shared" si="48"/>
        <v>0</v>
      </c>
      <c r="R144" s="870"/>
      <c r="S144" s="870"/>
      <c r="T144" s="882"/>
      <c r="U144" s="870"/>
      <c r="V144" s="870"/>
      <c r="W144" s="870"/>
      <c r="X144" s="870"/>
      <c r="Y144" s="870"/>
      <c r="Z144" s="870"/>
      <c r="AA144" s="870"/>
      <c r="AB144" s="870"/>
      <c r="AC144" s="870"/>
      <c r="AD144" s="870"/>
      <c r="AE144" s="870"/>
    </row>
    <row r="145" spans="1:31" ht="18.75" customHeight="1" x14ac:dyDescent="0.3">
      <c r="A145" s="957"/>
      <c r="B145" s="42"/>
      <c r="C145" s="955"/>
      <c r="D145" s="41"/>
      <c r="E145" s="684"/>
      <c r="F145" s="37"/>
      <c r="G145" s="684"/>
      <c r="H145" s="37"/>
      <c r="I145" s="684"/>
      <c r="J145" s="37"/>
      <c r="K145" s="684"/>
      <c r="L145" s="807">
        <f t="shared" si="47"/>
        <v>0</v>
      </c>
      <c r="O145" s="873"/>
      <c r="P145" s="764"/>
      <c r="Q145" s="769">
        <f t="shared" si="48"/>
        <v>0</v>
      </c>
      <c r="R145" s="870"/>
      <c r="S145" s="870"/>
      <c r="T145" s="882"/>
      <c r="U145" s="883"/>
      <c r="V145" s="883"/>
      <c r="W145" s="883"/>
      <c r="X145" s="883"/>
      <c r="Y145" s="883"/>
      <c r="Z145" s="883"/>
      <c r="AA145" s="883"/>
      <c r="AB145" s="883"/>
      <c r="AC145" s="883"/>
      <c r="AD145" s="883"/>
      <c r="AE145" s="883"/>
    </row>
    <row r="146" spans="1:31" ht="18.75" customHeight="1" x14ac:dyDescent="0.3">
      <c r="A146" s="742"/>
      <c r="B146" s="482"/>
      <c r="C146" s="482"/>
      <c r="D146" s="149" t="s">
        <v>249</v>
      </c>
      <c r="E146" s="150">
        <f t="shared" ref="E146:K146" si="49">SUM(E135:E145)</f>
        <v>0</v>
      </c>
      <c r="F146" s="150">
        <f t="shared" si="49"/>
        <v>0</v>
      </c>
      <c r="G146" s="150">
        <f t="shared" si="49"/>
        <v>0</v>
      </c>
      <c r="H146" s="150">
        <f t="shared" si="49"/>
        <v>0</v>
      </c>
      <c r="I146" s="150">
        <f t="shared" si="49"/>
        <v>0</v>
      </c>
      <c r="J146" s="150">
        <f t="shared" si="49"/>
        <v>0</v>
      </c>
      <c r="K146" s="150">
        <f t="shared" si="49"/>
        <v>0</v>
      </c>
      <c r="L146" s="786">
        <f t="shared" si="47"/>
        <v>0</v>
      </c>
      <c r="O146" s="951"/>
      <c r="P146" s="765"/>
      <c r="Q146" s="769"/>
      <c r="R146" s="55"/>
      <c r="S146" s="55"/>
      <c r="T146" s="395"/>
      <c r="U146" s="37"/>
      <c r="V146" s="37"/>
      <c r="W146" s="37"/>
      <c r="X146" s="476"/>
      <c r="Y146" s="476"/>
      <c r="Z146" s="476"/>
      <c r="AA146" s="476"/>
      <c r="AB146" s="476"/>
      <c r="AC146" s="476"/>
      <c r="AD146" s="476"/>
      <c r="AE146" s="476"/>
    </row>
    <row r="147" spans="1:31" ht="18.75" customHeight="1" x14ac:dyDescent="0.3">
      <c r="A147" s="742"/>
      <c r="B147" s="482"/>
      <c r="C147" s="482"/>
      <c r="D147" s="149" t="s">
        <v>250</v>
      </c>
      <c r="E147" s="150">
        <f t="shared" ref="E147:K147" si="50">SUM(E133+E146)</f>
        <v>716542.98</v>
      </c>
      <c r="F147" s="150">
        <f t="shared" si="50"/>
        <v>180000</v>
      </c>
      <c r="G147" s="150">
        <f t="shared" si="50"/>
        <v>0</v>
      </c>
      <c r="H147" s="150">
        <f t="shared" si="50"/>
        <v>0</v>
      </c>
      <c r="I147" s="150">
        <f t="shared" si="50"/>
        <v>0</v>
      </c>
      <c r="J147" s="150">
        <f t="shared" si="50"/>
        <v>0</v>
      </c>
      <c r="K147" s="150">
        <f t="shared" si="50"/>
        <v>9900</v>
      </c>
      <c r="L147" s="786">
        <f t="shared" si="47"/>
        <v>906442.98</v>
      </c>
      <c r="O147" s="951"/>
      <c r="P147" s="765"/>
      <c r="Q147" s="769"/>
      <c r="R147" s="55"/>
      <c r="S147" s="55"/>
      <c r="T147" s="397"/>
      <c r="U147" s="37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</row>
    <row r="148" spans="1:31" ht="18.75" customHeight="1" x14ac:dyDescent="0.3">
      <c r="A148" s="743"/>
      <c r="B148" s="484"/>
      <c r="C148" s="484"/>
      <c r="D148" s="152" t="s">
        <v>251</v>
      </c>
      <c r="E148" s="153">
        <f t="shared" ref="E148:K148" si="51">SUM(E134-E146)</f>
        <v>963457.01999999979</v>
      </c>
      <c r="F148" s="153">
        <f t="shared" si="51"/>
        <v>70000</v>
      </c>
      <c r="G148" s="153">
        <f t="shared" si="51"/>
        <v>0</v>
      </c>
      <c r="H148" s="153">
        <f t="shared" si="51"/>
        <v>0</v>
      </c>
      <c r="I148" s="153">
        <f t="shared" si="51"/>
        <v>2655000</v>
      </c>
      <c r="J148" s="153">
        <f t="shared" si="51"/>
        <v>50800</v>
      </c>
      <c r="K148" s="153">
        <f t="shared" si="51"/>
        <v>43400</v>
      </c>
      <c r="L148" s="787">
        <f t="shared" si="47"/>
        <v>3782657.0199999996</v>
      </c>
      <c r="O148" s="951"/>
      <c r="P148" s="765"/>
      <c r="Q148" s="769"/>
      <c r="R148" s="55"/>
      <c r="S148" s="55"/>
      <c r="T148" s="397"/>
      <c r="U148" s="37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</row>
    <row r="149" spans="1:31" ht="18.75" customHeight="1" x14ac:dyDescent="0.3">
      <c r="A149" s="1035" t="s">
        <v>252</v>
      </c>
      <c r="B149" s="42"/>
      <c r="C149" s="955"/>
      <c r="D149" s="41"/>
      <c r="E149" s="684"/>
      <c r="F149" s="37"/>
      <c r="G149" s="684"/>
      <c r="H149" s="37"/>
      <c r="I149" s="684"/>
      <c r="J149" s="37"/>
      <c r="K149" s="684"/>
      <c r="L149" s="1036">
        <f t="shared" si="47"/>
        <v>0</v>
      </c>
      <c r="O149" s="873"/>
      <c r="P149" s="764"/>
      <c r="Q149" s="769"/>
      <c r="R149" s="37"/>
      <c r="S149" s="37"/>
      <c r="T149" s="397"/>
      <c r="U149" s="37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</row>
    <row r="150" spans="1:31" ht="18.75" customHeight="1" x14ac:dyDescent="0.3">
      <c r="A150" s="957"/>
      <c r="B150" s="42"/>
      <c r="C150" s="955"/>
      <c r="D150" s="34"/>
      <c r="E150" s="684"/>
      <c r="F150" s="37"/>
      <c r="G150" s="684"/>
      <c r="H150" s="37"/>
      <c r="I150" s="684"/>
      <c r="J150" s="37"/>
      <c r="K150" s="684"/>
      <c r="L150" s="807">
        <f t="shared" si="47"/>
        <v>0</v>
      </c>
      <c r="O150" s="873"/>
      <c r="P150" s="764"/>
      <c r="Q150" s="769">
        <f t="shared" ref="Q150:Q155" si="52">L150-O150-P150</f>
        <v>0</v>
      </c>
      <c r="R150" s="870"/>
      <c r="S150" s="870"/>
      <c r="T150" s="882"/>
      <c r="U150" s="870"/>
      <c r="V150" s="870"/>
      <c r="W150" s="870"/>
      <c r="X150" s="870"/>
      <c r="Y150" s="870"/>
      <c r="Z150" s="870"/>
      <c r="AA150" s="870"/>
      <c r="AB150" s="870"/>
      <c r="AC150" s="870"/>
      <c r="AD150" s="870"/>
      <c r="AE150" s="870"/>
    </row>
    <row r="151" spans="1:31" ht="18.75" customHeight="1" x14ac:dyDescent="0.3">
      <c r="A151" s="957"/>
      <c r="B151" s="42"/>
      <c r="C151" s="955"/>
      <c r="D151" s="41"/>
      <c r="E151" s="684"/>
      <c r="F151" s="37"/>
      <c r="G151" s="684"/>
      <c r="H151" s="37"/>
      <c r="I151" s="684"/>
      <c r="J151" s="37"/>
      <c r="K151" s="684"/>
      <c r="L151" s="807">
        <f t="shared" si="47"/>
        <v>0</v>
      </c>
      <c r="O151" s="873"/>
      <c r="P151" s="764"/>
      <c r="Q151" s="769">
        <f t="shared" si="52"/>
        <v>0</v>
      </c>
      <c r="R151" s="870"/>
      <c r="S151" s="870"/>
      <c r="T151" s="882"/>
      <c r="U151" s="870"/>
      <c r="V151" s="870"/>
      <c r="W151" s="870"/>
      <c r="X151" s="870"/>
      <c r="Y151" s="870"/>
      <c r="Z151" s="870"/>
      <c r="AA151" s="870"/>
      <c r="AB151" s="870"/>
      <c r="AC151" s="870"/>
      <c r="AD151" s="870"/>
      <c r="AE151" s="870"/>
    </row>
    <row r="152" spans="1:31" ht="18.75" customHeight="1" x14ac:dyDescent="0.3">
      <c r="A152" s="957"/>
      <c r="B152" s="42"/>
      <c r="C152" s="955"/>
      <c r="D152" s="34"/>
      <c r="E152" s="684"/>
      <c r="F152" s="37"/>
      <c r="G152" s="684"/>
      <c r="H152" s="37"/>
      <c r="I152" s="684"/>
      <c r="J152" s="37"/>
      <c r="K152" s="684"/>
      <c r="L152" s="807">
        <f t="shared" si="47"/>
        <v>0</v>
      </c>
      <c r="O152" s="873"/>
      <c r="P152" s="765"/>
      <c r="Q152" s="769">
        <f t="shared" si="52"/>
        <v>0</v>
      </c>
      <c r="R152" s="870"/>
      <c r="S152" s="870"/>
      <c r="T152" s="882"/>
      <c r="U152" s="870"/>
      <c r="V152" s="870"/>
      <c r="W152" s="870"/>
      <c r="X152" s="870"/>
      <c r="Y152" s="870"/>
      <c r="Z152" s="870"/>
      <c r="AA152" s="870"/>
      <c r="AB152" s="870"/>
      <c r="AC152" s="870"/>
      <c r="AD152" s="870"/>
      <c r="AE152" s="870"/>
    </row>
    <row r="153" spans="1:31" ht="18.75" customHeight="1" x14ac:dyDescent="0.3">
      <c r="A153" s="957"/>
      <c r="B153" s="42"/>
      <c r="C153" s="955"/>
      <c r="D153" s="41"/>
      <c r="E153" s="684"/>
      <c r="F153" s="37"/>
      <c r="G153" s="684"/>
      <c r="H153" s="37"/>
      <c r="I153" s="684"/>
      <c r="J153" s="37"/>
      <c r="K153" s="684"/>
      <c r="L153" s="807">
        <f t="shared" si="47"/>
        <v>0</v>
      </c>
      <c r="O153" s="873"/>
      <c r="P153" s="764"/>
      <c r="Q153" s="769">
        <f t="shared" si="52"/>
        <v>0</v>
      </c>
      <c r="R153" s="870"/>
      <c r="S153" s="870"/>
      <c r="T153" s="882"/>
      <c r="U153" s="870"/>
      <c r="V153" s="870"/>
      <c r="W153" s="870"/>
      <c r="X153" s="870"/>
      <c r="Y153" s="870"/>
      <c r="Z153" s="870"/>
      <c r="AA153" s="870"/>
      <c r="AB153" s="870"/>
      <c r="AC153" s="870"/>
      <c r="AD153" s="870"/>
      <c r="AE153" s="870"/>
    </row>
    <row r="154" spans="1:31" ht="18.75" customHeight="1" x14ac:dyDescent="0.3">
      <c r="A154" s="957"/>
      <c r="B154" s="42"/>
      <c r="C154" s="840"/>
      <c r="D154" s="34"/>
      <c r="E154" s="684"/>
      <c r="F154" s="37"/>
      <c r="G154" s="684"/>
      <c r="H154" s="37"/>
      <c r="I154" s="684"/>
      <c r="J154" s="37"/>
      <c r="K154" s="684"/>
      <c r="L154" s="807">
        <f t="shared" si="47"/>
        <v>0</v>
      </c>
      <c r="O154" s="873"/>
      <c r="P154" s="764"/>
      <c r="Q154" s="769">
        <f t="shared" si="52"/>
        <v>0</v>
      </c>
      <c r="R154" s="870"/>
      <c r="S154" s="870"/>
      <c r="T154" s="882"/>
      <c r="U154" s="870"/>
      <c r="V154" s="870"/>
      <c r="W154" s="870"/>
      <c r="X154" s="870"/>
      <c r="Y154" s="870"/>
      <c r="Z154" s="870"/>
      <c r="AA154" s="870"/>
      <c r="AB154" s="870"/>
      <c r="AC154" s="870"/>
      <c r="AD154" s="870"/>
      <c r="AE154" s="870"/>
    </row>
    <row r="155" spans="1:31" ht="18.75" customHeight="1" x14ac:dyDescent="0.3">
      <c r="A155" s="957"/>
      <c r="B155" s="42"/>
      <c r="C155" s="955"/>
      <c r="D155" s="41"/>
      <c r="E155" s="684"/>
      <c r="F155" s="37"/>
      <c r="G155" s="684"/>
      <c r="H155" s="37"/>
      <c r="I155" s="684"/>
      <c r="J155" s="37"/>
      <c r="K155" s="684"/>
      <c r="L155" s="807">
        <f t="shared" si="47"/>
        <v>0</v>
      </c>
      <c r="O155" s="873"/>
      <c r="P155" s="764"/>
      <c r="Q155" s="769">
        <f t="shared" si="52"/>
        <v>0</v>
      </c>
      <c r="R155" s="870"/>
      <c r="S155" s="870"/>
      <c r="T155" s="882"/>
      <c r="U155" s="870"/>
      <c r="V155" s="870"/>
      <c r="W155" s="870"/>
      <c r="X155" s="870"/>
      <c r="Y155" s="870"/>
      <c r="Z155" s="870"/>
      <c r="AA155" s="870"/>
      <c r="AB155" s="870"/>
      <c r="AC155" s="870"/>
      <c r="AD155" s="870"/>
      <c r="AE155" s="870"/>
    </row>
    <row r="156" spans="1:31" ht="18.75" customHeight="1" x14ac:dyDescent="0.3">
      <c r="A156" s="957"/>
      <c r="B156" s="42"/>
      <c r="C156" s="955"/>
      <c r="D156" s="140"/>
      <c r="E156" s="1080"/>
      <c r="F156" s="37"/>
      <c r="G156" s="684"/>
      <c r="H156" s="37"/>
      <c r="I156" s="684"/>
      <c r="J156" s="37"/>
      <c r="K156" s="684"/>
      <c r="L156" s="807">
        <f t="shared" si="47"/>
        <v>0</v>
      </c>
      <c r="O156" s="873"/>
      <c r="P156" s="764"/>
      <c r="Q156" s="769">
        <v>0</v>
      </c>
      <c r="R156" s="870"/>
      <c r="S156" s="870"/>
      <c r="T156" s="882"/>
      <c r="U156" s="870"/>
      <c r="V156" s="870"/>
      <c r="W156" s="870"/>
      <c r="X156" s="870"/>
      <c r="Y156" s="870"/>
      <c r="Z156" s="870"/>
      <c r="AA156" s="870"/>
      <c r="AB156" s="870"/>
      <c r="AC156" s="870"/>
      <c r="AD156" s="870"/>
      <c r="AE156" s="870"/>
    </row>
    <row r="157" spans="1:31" ht="18.75" customHeight="1" x14ac:dyDescent="0.3">
      <c r="A157" s="957"/>
      <c r="B157" s="42"/>
      <c r="C157" s="955"/>
      <c r="D157" s="41"/>
      <c r="E157" s="684"/>
      <c r="F157" s="37"/>
      <c r="G157" s="684"/>
      <c r="H157" s="37"/>
      <c r="I157" s="684"/>
      <c r="J157" s="37"/>
      <c r="K157" s="684"/>
      <c r="L157" s="807">
        <f t="shared" si="47"/>
        <v>0</v>
      </c>
      <c r="O157" s="873"/>
      <c r="P157" s="764"/>
      <c r="Q157" s="769">
        <f t="shared" ref="Q157:Q159" si="53">L157-O157-P157</f>
        <v>0</v>
      </c>
      <c r="R157" s="870"/>
      <c r="S157" s="870"/>
      <c r="T157" s="882"/>
      <c r="U157" s="870"/>
      <c r="V157" s="870"/>
      <c r="W157" s="870"/>
      <c r="X157" s="870"/>
      <c r="Y157" s="870"/>
      <c r="Z157" s="870"/>
      <c r="AA157" s="870"/>
      <c r="AB157" s="870"/>
      <c r="AC157" s="870"/>
      <c r="AD157" s="870"/>
      <c r="AE157" s="870"/>
    </row>
    <row r="158" spans="1:31" ht="18.75" customHeight="1" x14ac:dyDescent="0.3">
      <c r="A158" s="957"/>
      <c r="B158" s="38"/>
      <c r="C158" s="1071"/>
      <c r="D158" s="40"/>
      <c r="E158" s="684"/>
      <c r="F158" s="37"/>
      <c r="G158" s="684"/>
      <c r="H158" s="37"/>
      <c r="I158" s="684"/>
      <c r="J158" s="37"/>
      <c r="K158" s="684"/>
      <c r="L158" s="807">
        <f t="shared" si="47"/>
        <v>0</v>
      </c>
      <c r="O158" s="873"/>
      <c r="P158" s="764"/>
      <c r="Q158" s="769">
        <f t="shared" si="53"/>
        <v>0</v>
      </c>
      <c r="R158" s="870"/>
      <c r="S158" s="870"/>
      <c r="T158" s="882"/>
      <c r="U158" s="870"/>
      <c r="V158" s="870"/>
      <c r="W158" s="870"/>
      <c r="X158" s="870"/>
      <c r="Y158" s="870"/>
      <c r="Z158" s="870"/>
      <c r="AA158" s="870"/>
      <c r="AB158" s="870"/>
      <c r="AC158" s="870"/>
      <c r="AD158" s="870"/>
      <c r="AE158" s="870"/>
    </row>
    <row r="159" spans="1:31" ht="18.75" customHeight="1" x14ac:dyDescent="0.3">
      <c r="A159" s="957"/>
      <c r="B159" s="42"/>
      <c r="C159" s="955"/>
      <c r="D159" s="41"/>
      <c r="E159" s="684"/>
      <c r="F159" s="37"/>
      <c r="G159" s="684"/>
      <c r="H159" s="37"/>
      <c r="I159" s="684"/>
      <c r="J159" s="37"/>
      <c r="K159" s="684"/>
      <c r="L159" s="807">
        <f t="shared" si="47"/>
        <v>0</v>
      </c>
      <c r="O159" s="873"/>
      <c r="P159" s="764"/>
      <c r="Q159" s="769">
        <f t="shared" si="53"/>
        <v>0</v>
      </c>
      <c r="R159" s="870"/>
      <c r="S159" s="870"/>
      <c r="T159" s="882"/>
      <c r="U159" s="883"/>
      <c r="V159" s="883"/>
      <c r="W159" s="883"/>
      <c r="X159" s="883"/>
      <c r="Y159" s="883"/>
      <c r="Z159" s="883"/>
      <c r="AA159" s="883"/>
      <c r="AB159" s="883"/>
      <c r="AC159" s="883"/>
      <c r="AD159" s="883"/>
      <c r="AE159" s="883"/>
    </row>
    <row r="160" spans="1:31" ht="18.75" customHeight="1" x14ac:dyDescent="0.3">
      <c r="A160" s="742"/>
      <c r="B160" s="482"/>
      <c r="C160" s="482"/>
      <c r="D160" s="149" t="s">
        <v>253</v>
      </c>
      <c r="E160" s="150">
        <f t="shared" ref="E160:K160" si="54">SUM(E149:E159)</f>
        <v>0</v>
      </c>
      <c r="F160" s="150">
        <f t="shared" si="54"/>
        <v>0</v>
      </c>
      <c r="G160" s="150">
        <f t="shared" si="54"/>
        <v>0</v>
      </c>
      <c r="H160" s="150">
        <f t="shared" si="54"/>
        <v>0</v>
      </c>
      <c r="I160" s="150">
        <f t="shared" si="54"/>
        <v>0</v>
      </c>
      <c r="J160" s="150">
        <f t="shared" si="54"/>
        <v>0</v>
      </c>
      <c r="K160" s="150">
        <f t="shared" si="54"/>
        <v>0</v>
      </c>
      <c r="L160" s="786">
        <f t="shared" si="47"/>
        <v>0</v>
      </c>
      <c r="O160" s="951"/>
      <c r="P160" s="765"/>
      <c r="Q160" s="769"/>
      <c r="R160" s="55"/>
      <c r="S160" s="55"/>
      <c r="T160" s="395"/>
      <c r="U160" s="37"/>
      <c r="V160" s="37"/>
      <c r="W160" s="37"/>
      <c r="X160" s="476"/>
      <c r="Y160" s="476"/>
      <c r="Z160" s="476"/>
      <c r="AA160" s="476"/>
      <c r="AB160" s="476"/>
      <c r="AC160" s="476"/>
      <c r="AD160" s="476"/>
      <c r="AE160" s="476"/>
    </row>
    <row r="161" spans="1:31" ht="18.75" customHeight="1" x14ac:dyDescent="0.3">
      <c r="A161" s="742"/>
      <c r="B161" s="482"/>
      <c r="C161" s="482"/>
      <c r="D161" s="149" t="s">
        <v>254</v>
      </c>
      <c r="E161" s="150">
        <f t="shared" ref="E161:K161" si="55">SUM(E147+E160)</f>
        <v>716542.98</v>
      </c>
      <c r="F161" s="150">
        <f t="shared" si="55"/>
        <v>180000</v>
      </c>
      <c r="G161" s="150">
        <f t="shared" si="55"/>
        <v>0</v>
      </c>
      <c r="H161" s="150">
        <f t="shared" si="55"/>
        <v>0</v>
      </c>
      <c r="I161" s="150">
        <f t="shared" si="55"/>
        <v>0</v>
      </c>
      <c r="J161" s="150">
        <f t="shared" si="55"/>
        <v>0</v>
      </c>
      <c r="K161" s="150">
        <f t="shared" si="55"/>
        <v>9900</v>
      </c>
      <c r="L161" s="786">
        <f t="shared" si="47"/>
        <v>906442.98</v>
      </c>
      <c r="O161" s="951"/>
      <c r="P161" s="765"/>
      <c r="Q161" s="769"/>
      <c r="R161" s="55"/>
      <c r="S161" s="55"/>
      <c r="T161" s="395"/>
      <c r="U161" s="37"/>
      <c r="V161" s="37"/>
      <c r="W161" s="37"/>
      <c r="X161" s="476"/>
      <c r="Y161" s="476"/>
      <c r="Z161" s="476"/>
      <c r="AA161" s="476"/>
      <c r="AB161" s="476"/>
      <c r="AC161" s="476"/>
      <c r="AD161" s="476"/>
      <c r="AE161" s="476"/>
    </row>
    <row r="162" spans="1:31" ht="18.75" customHeight="1" x14ac:dyDescent="0.3">
      <c r="A162" s="743"/>
      <c r="B162" s="484"/>
      <c r="C162" s="484"/>
      <c r="D162" s="152" t="s">
        <v>255</v>
      </c>
      <c r="E162" s="153">
        <f t="shared" ref="E162:K162" si="56">SUM(E148-E160)</f>
        <v>963457.01999999979</v>
      </c>
      <c r="F162" s="153">
        <f t="shared" si="56"/>
        <v>70000</v>
      </c>
      <c r="G162" s="153">
        <f t="shared" si="56"/>
        <v>0</v>
      </c>
      <c r="H162" s="153">
        <f t="shared" si="56"/>
        <v>0</v>
      </c>
      <c r="I162" s="153">
        <f t="shared" si="56"/>
        <v>2655000</v>
      </c>
      <c r="J162" s="153">
        <f t="shared" si="56"/>
        <v>50800</v>
      </c>
      <c r="K162" s="153">
        <f t="shared" si="56"/>
        <v>43400</v>
      </c>
      <c r="L162" s="787">
        <f t="shared" si="47"/>
        <v>3782657.0199999996</v>
      </c>
      <c r="O162" s="951"/>
      <c r="P162" s="765"/>
      <c r="Q162" s="769"/>
      <c r="R162" s="55"/>
      <c r="S162" s="55"/>
      <c r="T162" s="395"/>
      <c r="U162" s="37"/>
      <c r="V162" s="37"/>
      <c r="W162" s="37"/>
      <c r="X162" s="476"/>
      <c r="Y162" s="476"/>
      <c r="Z162" s="476"/>
      <c r="AA162" s="476"/>
      <c r="AB162" s="476"/>
      <c r="AC162" s="476"/>
      <c r="AD162" s="476"/>
      <c r="AE162" s="476"/>
    </row>
    <row r="163" spans="1:31" ht="18.75" customHeight="1" x14ac:dyDescent="0.3">
      <c r="A163" s="1035" t="s">
        <v>256</v>
      </c>
      <c r="B163" s="42"/>
      <c r="C163" s="955"/>
      <c r="D163" s="41"/>
      <c r="E163" s="684"/>
      <c r="F163" s="37"/>
      <c r="G163" s="684"/>
      <c r="H163" s="37"/>
      <c r="I163" s="684"/>
      <c r="J163" s="37"/>
      <c r="K163" s="684"/>
      <c r="L163" s="1036">
        <f t="shared" si="47"/>
        <v>0</v>
      </c>
      <c r="O163" s="873"/>
      <c r="P163" s="764"/>
      <c r="Q163" s="769"/>
      <c r="R163" s="37"/>
      <c r="S163" s="37"/>
      <c r="T163" s="395"/>
      <c r="U163" s="37"/>
      <c r="V163" s="37"/>
      <c r="W163" s="37"/>
      <c r="X163" s="476"/>
      <c r="Y163" s="476"/>
      <c r="Z163" s="476"/>
      <c r="AA163" s="476"/>
      <c r="AB163" s="476"/>
      <c r="AC163" s="476"/>
      <c r="AD163" s="476"/>
      <c r="AE163" s="476"/>
    </row>
    <row r="164" spans="1:31" ht="18.75" customHeight="1" x14ac:dyDescent="0.3">
      <c r="A164" s="957"/>
      <c r="B164" s="42"/>
      <c r="C164" s="955"/>
      <c r="D164" s="34"/>
      <c r="E164" s="684"/>
      <c r="F164" s="37"/>
      <c r="G164" s="684"/>
      <c r="H164" s="37"/>
      <c r="I164" s="684"/>
      <c r="J164" s="37"/>
      <c r="K164" s="684"/>
      <c r="L164" s="807">
        <f t="shared" si="47"/>
        <v>0</v>
      </c>
      <c r="O164" s="873"/>
      <c r="P164" s="764"/>
      <c r="Q164" s="769">
        <f t="shared" ref="Q164:Q169" si="57">L164-O164-P164</f>
        <v>0</v>
      </c>
      <c r="R164" s="870"/>
      <c r="S164" s="870"/>
      <c r="T164" s="882"/>
      <c r="U164" s="870"/>
      <c r="V164" s="870"/>
      <c r="W164" s="870"/>
      <c r="X164" s="870"/>
      <c r="Y164" s="870"/>
      <c r="Z164" s="870"/>
      <c r="AA164" s="870"/>
      <c r="AB164" s="870"/>
      <c r="AC164" s="870"/>
      <c r="AD164" s="870"/>
      <c r="AE164" s="870"/>
    </row>
    <row r="165" spans="1:31" ht="18.75" customHeight="1" x14ac:dyDescent="0.3">
      <c r="A165" s="957"/>
      <c r="B165" s="42"/>
      <c r="C165" s="955"/>
      <c r="D165" s="41"/>
      <c r="E165" s="684"/>
      <c r="F165" s="37"/>
      <c r="G165" s="684"/>
      <c r="H165" s="37"/>
      <c r="I165" s="684"/>
      <c r="J165" s="37"/>
      <c r="K165" s="684"/>
      <c r="L165" s="807">
        <f t="shared" si="47"/>
        <v>0</v>
      </c>
      <c r="O165" s="873"/>
      <c r="P165" s="764"/>
      <c r="Q165" s="769">
        <f t="shared" si="57"/>
        <v>0</v>
      </c>
      <c r="R165" s="870"/>
      <c r="S165" s="870"/>
      <c r="T165" s="882"/>
      <c r="U165" s="870"/>
      <c r="V165" s="870"/>
      <c r="W165" s="870"/>
      <c r="X165" s="870"/>
      <c r="Y165" s="870"/>
      <c r="Z165" s="870"/>
      <c r="AA165" s="870"/>
      <c r="AB165" s="870"/>
      <c r="AC165" s="870"/>
      <c r="AD165" s="870"/>
      <c r="AE165" s="870"/>
    </row>
    <row r="166" spans="1:31" ht="18.75" customHeight="1" x14ac:dyDescent="0.3">
      <c r="A166" s="957"/>
      <c r="B166" s="42"/>
      <c r="C166" s="955"/>
      <c r="D166" s="34"/>
      <c r="E166" s="684"/>
      <c r="F166" s="37"/>
      <c r="G166" s="684"/>
      <c r="H166" s="37"/>
      <c r="I166" s="684"/>
      <c r="J166" s="37"/>
      <c r="K166" s="684"/>
      <c r="L166" s="807">
        <f t="shared" si="47"/>
        <v>0</v>
      </c>
      <c r="O166" s="873"/>
      <c r="P166" s="765"/>
      <c r="Q166" s="769">
        <f t="shared" si="57"/>
        <v>0</v>
      </c>
      <c r="R166" s="870"/>
      <c r="S166" s="870"/>
      <c r="T166" s="882"/>
      <c r="U166" s="870"/>
      <c r="V166" s="870"/>
      <c r="W166" s="870"/>
      <c r="X166" s="870"/>
      <c r="Y166" s="870"/>
      <c r="Z166" s="870"/>
      <c r="AA166" s="870"/>
      <c r="AB166" s="870"/>
      <c r="AC166" s="870"/>
      <c r="AD166" s="870"/>
      <c r="AE166" s="870"/>
    </row>
    <row r="167" spans="1:31" ht="18.75" customHeight="1" x14ac:dyDescent="0.3">
      <c r="A167" s="957"/>
      <c r="B167" s="42"/>
      <c r="C167" s="955"/>
      <c r="D167" s="41"/>
      <c r="E167" s="684"/>
      <c r="F167" s="37"/>
      <c r="G167" s="684"/>
      <c r="H167" s="37"/>
      <c r="I167" s="684"/>
      <c r="J167" s="37"/>
      <c r="K167" s="684"/>
      <c r="L167" s="807">
        <f t="shared" si="47"/>
        <v>0</v>
      </c>
      <c r="O167" s="873"/>
      <c r="P167" s="764"/>
      <c r="Q167" s="769">
        <f t="shared" si="57"/>
        <v>0</v>
      </c>
      <c r="R167" s="870"/>
      <c r="S167" s="870"/>
      <c r="T167" s="882"/>
      <c r="U167" s="870"/>
      <c r="V167" s="870"/>
      <c r="W167" s="870"/>
      <c r="X167" s="870"/>
      <c r="Y167" s="870"/>
      <c r="Z167" s="870"/>
      <c r="AA167" s="870"/>
      <c r="AB167" s="870"/>
      <c r="AC167" s="870"/>
      <c r="AD167" s="870"/>
      <c r="AE167" s="870"/>
    </row>
    <row r="168" spans="1:31" ht="18.75" customHeight="1" x14ac:dyDescent="0.3">
      <c r="A168" s="957"/>
      <c r="B168" s="42"/>
      <c r="C168" s="840"/>
      <c r="D168" s="34"/>
      <c r="E168" s="684"/>
      <c r="F168" s="37"/>
      <c r="G168" s="684"/>
      <c r="H168" s="37"/>
      <c r="I168" s="684"/>
      <c r="J168" s="37"/>
      <c r="K168" s="684"/>
      <c r="L168" s="807">
        <f t="shared" si="47"/>
        <v>0</v>
      </c>
      <c r="O168" s="873"/>
      <c r="P168" s="764"/>
      <c r="Q168" s="769">
        <f t="shared" si="57"/>
        <v>0</v>
      </c>
      <c r="R168" s="870"/>
      <c r="S168" s="870"/>
      <c r="T168" s="882"/>
      <c r="U168" s="870"/>
      <c r="V168" s="870"/>
      <c r="W168" s="870"/>
      <c r="X168" s="870"/>
      <c r="Y168" s="870"/>
      <c r="Z168" s="870"/>
      <c r="AA168" s="870"/>
      <c r="AB168" s="870"/>
      <c r="AC168" s="870"/>
      <c r="AD168" s="870"/>
      <c r="AE168" s="870"/>
    </row>
    <row r="169" spans="1:31" ht="18.75" customHeight="1" x14ac:dyDescent="0.3">
      <c r="A169" s="957"/>
      <c r="B169" s="42"/>
      <c r="C169" s="955"/>
      <c r="D169" s="41"/>
      <c r="E169" s="684"/>
      <c r="F169" s="37"/>
      <c r="G169" s="684"/>
      <c r="H169" s="37"/>
      <c r="I169" s="684"/>
      <c r="J169" s="37"/>
      <c r="K169" s="684"/>
      <c r="L169" s="807">
        <f t="shared" si="47"/>
        <v>0</v>
      </c>
      <c r="O169" s="873"/>
      <c r="P169" s="764"/>
      <c r="Q169" s="769">
        <f t="shared" si="57"/>
        <v>0</v>
      </c>
      <c r="R169" s="870"/>
      <c r="S169" s="870"/>
      <c r="T169" s="882"/>
      <c r="U169" s="870"/>
      <c r="V169" s="870"/>
      <c r="W169" s="870"/>
      <c r="X169" s="870"/>
      <c r="Y169" s="870"/>
      <c r="Z169" s="870"/>
      <c r="AA169" s="870"/>
      <c r="AB169" s="870"/>
      <c r="AC169" s="870"/>
      <c r="AD169" s="870"/>
      <c r="AE169" s="870"/>
    </row>
    <row r="170" spans="1:31" ht="18.75" customHeight="1" x14ac:dyDescent="0.3">
      <c r="A170" s="957"/>
      <c r="B170" s="42"/>
      <c r="C170" s="955"/>
      <c r="D170" s="140"/>
      <c r="E170" s="1080"/>
      <c r="F170" s="37"/>
      <c r="G170" s="684"/>
      <c r="H170" s="37"/>
      <c r="I170" s="684"/>
      <c r="J170" s="37"/>
      <c r="K170" s="684"/>
      <c r="L170" s="807">
        <f t="shared" si="47"/>
        <v>0</v>
      </c>
      <c r="O170" s="873"/>
      <c r="P170" s="764"/>
      <c r="Q170" s="769">
        <v>0</v>
      </c>
      <c r="R170" s="870"/>
      <c r="S170" s="870"/>
      <c r="T170" s="882"/>
      <c r="U170" s="870"/>
      <c r="V170" s="870"/>
      <c r="W170" s="870"/>
      <c r="X170" s="870"/>
      <c r="Y170" s="870"/>
      <c r="Z170" s="870"/>
      <c r="AA170" s="870"/>
      <c r="AB170" s="870"/>
      <c r="AC170" s="870"/>
      <c r="AD170" s="870"/>
      <c r="AE170" s="870"/>
    </row>
    <row r="171" spans="1:31" ht="18.75" customHeight="1" x14ac:dyDescent="0.3">
      <c r="A171" s="957"/>
      <c r="B171" s="42"/>
      <c r="C171" s="955"/>
      <c r="D171" s="41"/>
      <c r="E171" s="684"/>
      <c r="F171" s="37"/>
      <c r="G171" s="684"/>
      <c r="H171" s="37"/>
      <c r="I171" s="684"/>
      <c r="J171" s="37"/>
      <c r="K171" s="684"/>
      <c r="L171" s="807">
        <f t="shared" si="47"/>
        <v>0</v>
      </c>
      <c r="O171" s="873"/>
      <c r="P171" s="764"/>
      <c r="Q171" s="769">
        <f t="shared" ref="Q171:Q173" si="58">L171-O171-P171</f>
        <v>0</v>
      </c>
      <c r="R171" s="870"/>
      <c r="S171" s="870"/>
      <c r="T171" s="882"/>
      <c r="U171" s="870"/>
      <c r="V171" s="870"/>
      <c r="W171" s="870"/>
      <c r="X171" s="870"/>
      <c r="Y171" s="870"/>
      <c r="Z171" s="870"/>
      <c r="AA171" s="870"/>
      <c r="AB171" s="870"/>
      <c r="AC171" s="870"/>
      <c r="AD171" s="870"/>
      <c r="AE171" s="870"/>
    </row>
    <row r="172" spans="1:31" ht="18.75" customHeight="1" x14ac:dyDescent="0.3">
      <c r="A172" s="957"/>
      <c r="B172" s="38"/>
      <c r="C172" s="1071"/>
      <c r="D172" s="40"/>
      <c r="E172" s="684"/>
      <c r="F172" s="37"/>
      <c r="G172" s="684"/>
      <c r="H172" s="37"/>
      <c r="I172" s="684"/>
      <c r="J172" s="37"/>
      <c r="K172" s="684"/>
      <c r="L172" s="807">
        <f t="shared" si="47"/>
        <v>0</v>
      </c>
      <c r="O172" s="873"/>
      <c r="P172" s="764"/>
      <c r="Q172" s="769">
        <f t="shared" si="58"/>
        <v>0</v>
      </c>
      <c r="R172" s="870"/>
      <c r="S172" s="870"/>
      <c r="T172" s="882"/>
      <c r="U172" s="870"/>
      <c r="V172" s="870"/>
      <c r="W172" s="870"/>
      <c r="X172" s="870"/>
      <c r="Y172" s="870"/>
      <c r="Z172" s="870"/>
      <c r="AA172" s="870"/>
      <c r="AB172" s="870"/>
      <c r="AC172" s="870"/>
      <c r="AD172" s="870"/>
      <c r="AE172" s="870"/>
    </row>
    <row r="173" spans="1:31" ht="18.75" customHeight="1" x14ac:dyDescent="0.3">
      <c r="A173" s="957"/>
      <c r="B173" s="42"/>
      <c r="C173" s="955"/>
      <c r="D173" s="41"/>
      <c r="E173" s="684"/>
      <c r="F173" s="37"/>
      <c r="G173" s="684"/>
      <c r="H173" s="37"/>
      <c r="I173" s="684"/>
      <c r="J173" s="37"/>
      <c r="K173" s="684"/>
      <c r="L173" s="807">
        <f t="shared" si="47"/>
        <v>0</v>
      </c>
      <c r="O173" s="873"/>
      <c r="P173" s="764"/>
      <c r="Q173" s="769">
        <f t="shared" si="58"/>
        <v>0</v>
      </c>
      <c r="R173" s="870"/>
      <c r="S173" s="870"/>
      <c r="T173" s="882"/>
      <c r="U173" s="883"/>
      <c r="V173" s="883"/>
      <c r="W173" s="883"/>
      <c r="X173" s="883"/>
      <c r="Y173" s="883"/>
      <c r="Z173" s="883"/>
      <c r="AA173" s="883"/>
      <c r="AB173" s="883"/>
      <c r="AC173" s="883"/>
      <c r="AD173" s="883"/>
      <c r="AE173" s="883"/>
    </row>
    <row r="174" spans="1:31" ht="18.75" customHeight="1" x14ac:dyDescent="0.3">
      <c r="A174" s="742"/>
      <c r="B174" s="482"/>
      <c r="C174" s="482"/>
      <c r="D174" s="149" t="s">
        <v>257</v>
      </c>
      <c r="E174" s="150">
        <f t="shared" ref="E174:K174" si="59">SUM(E163:E173)</f>
        <v>0</v>
      </c>
      <c r="F174" s="150">
        <f t="shared" si="59"/>
        <v>0</v>
      </c>
      <c r="G174" s="150">
        <f t="shared" si="59"/>
        <v>0</v>
      </c>
      <c r="H174" s="150">
        <f t="shared" si="59"/>
        <v>0</v>
      </c>
      <c r="I174" s="150">
        <f t="shared" si="59"/>
        <v>0</v>
      </c>
      <c r="J174" s="150">
        <f t="shared" si="59"/>
        <v>0</v>
      </c>
      <c r="K174" s="150">
        <f t="shared" si="59"/>
        <v>0</v>
      </c>
      <c r="L174" s="786">
        <f>SUM(E174:K174)</f>
        <v>0</v>
      </c>
      <c r="O174" s="951"/>
      <c r="P174" s="765"/>
      <c r="Q174" s="769"/>
      <c r="R174" s="55"/>
      <c r="S174" s="55"/>
      <c r="T174" s="395"/>
      <c r="U174" s="37"/>
      <c r="V174" s="37"/>
      <c r="W174" s="37"/>
      <c r="X174" s="476"/>
      <c r="Y174" s="476"/>
      <c r="Z174" s="476"/>
      <c r="AA174" s="476"/>
      <c r="AB174" s="476"/>
      <c r="AC174" s="476"/>
      <c r="AD174" s="476"/>
      <c r="AE174" s="476"/>
    </row>
    <row r="175" spans="1:31" ht="18.75" customHeight="1" x14ac:dyDescent="0.3">
      <c r="A175" s="742"/>
      <c r="B175" s="482"/>
      <c r="C175" s="482"/>
      <c r="D175" s="149" t="s">
        <v>258</v>
      </c>
      <c r="E175" s="150">
        <f t="shared" ref="E175:K175" si="60">SUM(E161+E174)</f>
        <v>716542.98</v>
      </c>
      <c r="F175" s="150">
        <f t="shared" si="60"/>
        <v>180000</v>
      </c>
      <c r="G175" s="150">
        <f t="shared" si="60"/>
        <v>0</v>
      </c>
      <c r="H175" s="150">
        <f t="shared" si="60"/>
        <v>0</v>
      </c>
      <c r="I175" s="150">
        <f t="shared" si="60"/>
        <v>0</v>
      </c>
      <c r="J175" s="150">
        <f t="shared" si="60"/>
        <v>0</v>
      </c>
      <c r="K175" s="150">
        <f t="shared" si="60"/>
        <v>9900</v>
      </c>
      <c r="L175" s="786">
        <f>SUM(E175:K175)</f>
        <v>906442.98</v>
      </c>
      <c r="O175" s="951"/>
      <c r="P175" s="765"/>
      <c r="Q175" s="769"/>
      <c r="R175" s="55"/>
      <c r="S175" s="55"/>
      <c r="T175" s="395"/>
      <c r="U175" s="37"/>
      <c r="V175" s="37"/>
      <c r="W175" s="37"/>
      <c r="X175" s="476"/>
      <c r="Y175" s="476"/>
      <c r="Z175" s="476"/>
      <c r="AA175" s="476"/>
      <c r="AB175" s="476"/>
      <c r="AC175" s="476"/>
      <c r="AD175" s="476"/>
      <c r="AE175" s="476"/>
    </row>
    <row r="176" spans="1:31" ht="18.75" customHeight="1" x14ac:dyDescent="0.3">
      <c r="A176" s="743"/>
      <c r="B176" s="484"/>
      <c r="C176" s="484"/>
      <c r="D176" s="152" t="s">
        <v>259</v>
      </c>
      <c r="E176" s="153">
        <f t="shared" ref="E176:K176" si="61">SUM(E162-E174)</f>
        <v>963457.01999999979</v>
      </c>
      <c r="F176" s="153">
        <f t="shared" si="61"/>
        <v>70000</v>
      </c>
      <c r="G176" s="153">
        <f t="shared" si="61"/>
        <v>0</v>
      </c>
      <c r="H176" s="153">
        <f t="shared" si="61"/>
        <v>0</v>
      </c>
      <c r="I176" s="153">
        <f t="shared" si="61"/>
        <v>2655000</v>
      </c>
      <c r="J176" s="153">
        <f t="shared" si="61"/>
        <v>50800</v>
      </c>
      <c r="K176" s="153">
        <f t="shared" si="61"/>
        <v>43400</v>
      </c>
      <c r="L176" s="787">
        <f>SUM(E176:K176)</f>
        <v>3782657.0199999996</v>
      </c>
      <c r="O176" s="951"/>
      <c r="P176" s="765"/>
      <c r="Q176" s="769"/>
      <c r="R176" s="55"/>
      <c r="S176" s="55"/>
      <c r="T176" s="395"/>
      <c r="U176" s="37"/>
      <c r="V176" s="37"/>
      <c r="W176" s="37"/>
      <c r="X176" s="476"/>
      <c r="Y176" s="476"/>
      <c r="Z176" s="476"/>
      <c r="AA176" s="476"/>
      <c r="AB176" s="476"/>
      <c r="AC176" s="476"/>
      <c r="AD176" s="476"/>
      <c r="AE176" s="476"/>
    </row>
  </sheetData>
  <autoFilter ref="A2:U176" xr:uid="{00000000-0009-0000-0000-000009000000}"/>
  <phoneticPr fontId="48" type="noConversion"/>
  <conditionalFormatting sqref="A177:AE902">
    <cfRule type="cellIs" dxfId="479" priority="99" stopIfTrue="1" operator="lessThan">
      <formula>0</formula>
    </cfRule>
  </conditionalFormatting>
  <conditionalFormatting sqref="N51:P51">
    <cfRule type="cellIs" dxfId="478" priority="97" stopIfTrue="1" operator="lessThan">
      <formula>0</formula>
    </cfRule>
  </conditionalFormatting>
  <conditionalFormatting sqref="E48:P50">
    <cfRule type="cellIs" dxfId="477" priority="82" stopIfTrue="1" operator="lessThan">
      <formula>0</formula>
    </cfRule>
  </conditionalFormatting>
  <conditionalFormatting sqref="J21:J30">
    <cfRule type="cellIs" dxfId="476" priority="74" stopIfTrue="1" operator="lessThan">
      <formula>0</formula>
    </cfRule>
  </conditionalFormatting>
  <conditionalFormatting sqref="H35:H47">
    <cfRule type="cellIs" dxfId="475" priority="66" stopIfTrue="1" operator="lessThan">
      <formula>0</formula>
    </cfRule>
  </conditionalFormatting>
  <conditionalFormatting sqref="E59:G61 I59:I61 K59:K61">
    <cfRule type="cellIs" dxfId="474" priority="58" stopIfTrue="1" operator="lessThan">
      <formula>0</formula>
    </cfRule>
  </conditionalFormatting>
  <conditionalFormatting sqref="R87:S89">
    <cfRule type="cellIs" dxfId="473" priority="50" stopIfTrue="1" operator="lessThan">
      <formula>0</formula>
    </cfRule>
  </conditionalFormatting>
  <conditionalFormatting sqref="N93:S95 E94:G96 I94:I96 K94:K96">
    <cfRule type="cellIs" dxfId="472" priority="42" stopIfTrue="1" operator="lessThan">
      <formula>0</formula>
    </cfRule>
  </conditionalFormatting>
  <conditionalFormatting sqref="N115:P117">
    <cfRule type="cellIs" dxfId="471" priority="34" stopIfTrue="1" operator="lessThan">
      <formula>0</formula>
    </cfRule>
  </conditionalFormatting>
  <conditionalFormatting sqref="N124:P124 R124:S124">
    <cfRule type="cellIs" dxfId="470" priority="26" stopIfTrue="1" operator="lessThan">
      <formula>0</formula>
    </cfRule>
  </conditionalFormatting>
  <conditionalFormatting sqref="J136:J145">
    <cfRule type="cellIs" dxfId="469" priority="18" stopIfTrue="1" operator="lessThan">
      <formula>0</formula>
    </cfRule>
  </conditionalFormatting>
  <conditionalFormatting sqref="H150:H159">
    <cfRule type="cellIs" dxfId="468" priority="10" stopIfTrue="1" operator="lessThan">
      <formula>0</formula>
    </cfRule>
  </conditionalFormatting>
  <conditionalFormatting sqref="E171:G173 I171:I173 K171:K173">
    <cfRule type="cellIs" dxfId="467" priority="2" stopIfTrue="1" operator="lessThan">
      <formula>0</formula>
    </cfRule>
  </conditionalFormatting>
  <conditionalFormatting sqref="R14:S16">
    <cfRule type="cellIs" dxfId="466" priority="98" stopIfTrue="1" operator="lessThan">
      <formula>0</formula>
    </cfRule>
  </conditionalFormatting>
  <conditionalFormatting sqref="E62:S64">
    <cfRule type="cellIs" dxfId="465" priority="83" stopIfTrue="1" operator="lessThan">
      <formula>0</formula>
    </cfRule>
  </conditionalFormatting>
  <conditionalFormatting sqref="N23:P23 R23:S23">
    <cfRule type="cellIs" dxfId="464" priority="75" stopIfTrue="1" operator="lessThan">
      <formula>0</formula>
    </cfRule>
  </conditionalFormatting>
  <conditionalFormatting sqref="J35:J47">
    <cfRule type="cellIs" dxfId="463" priority="67" stopIfTrue="1" operator="lessThan">
      <formula>0</formula>
    </cfRule>
  </conditionalFormatting>
  <conditionalFormatting sqref="H52:H61">
    <cfRule type="cellIs" dxfId="462" priority="59" stopIfTrue="1" operator="lessThan">
      <formula>0</formula>
    </cfRule>
  </conditionalFormatting>
  <conditionalFormatting sqref="E73:G75 I73:I75 K73:K75">
    <cfRule type="cellIs" dxfId="461" priority="51" stopIfTrue="1" operator="lessThan">
      <formula>0</formula>
    </cfRule>
  </conditionalFormatting>
  <conditionalFormatting sqref="R101:S103">
    <cfRule type="cellIs" dxfId="460" priority="43" stopIfTrue="1" operator="lessThan">
      <formula>0</formula>
    </cfRule>
  </conditionalFormatting>
  <conditionalFormatting sqref="N108:S109 E108:G110 I108:I110 K108:K110">
    <cfRule type="cellIs" dxfId="459" priority="35" stopIfTrue="1" operator="lessThan">
      <formula>0</formula>
    </cfRule>
  </conditionalFormatting>
  <conditionalFormatting sqref="N129:P131">
    <cfRule type="cellIs" dxfId="458" priority="27" stopIfTrue="1" operator="lessThan">
      <formula>0</formula>
    </cfRule>
  </conditionalFormatting>
  <conditionalFormatting sqref="N138:P138 R138:S138">
    <cfRule type="cellIs" dxfId="457" priority="19" stopIfTrue="1" operator="lessThan">
      <formula>0</formula>
    </cfRule>
  </conditionalFormatting>
  <conditionalFormatting sqref="J150:J159">
    <cfRule type="cellIs" dxfId="456" priority="11" stopIfTrue="1" operator="lessThan">
      <formula>0</formula>
    </cfRule>
  </conditionalFormatting>
  <conditionalFormatting sqref="H164:H173">
    <cfRule type="cellIs" dxfId="455" priority="3" stopIfTrue="1" operator="lessThan">
      <formula>0</formula>
    </cfRule>
  </conditionalFormatting>
  <conditionalFormatting sqref="H177:H902">
    <cfRule type="cellIs" dxfId="454" priority="207" stopIfTrue="1" operator="lessThan">
      <formula>0</formula>
    </cfRule>
  </conditionalFormatting>
  <conditionalFormatting sqref="E76:S78">
    <cfRule type="cellIs" dxfId="453" priority="84" stopIfTrue="1" operator="lessThan">
      <formula>0</formula>
    </cfRule>
  </conditionalFormatting>
  <conditionalFormatting sqref="N28:P30">
    <cfRule type="cellIs" dxfId="452" priority="76" stopIfTrue="1" operator="lessThan">
      <formula>0</formula>
    </cfRule>
  </conditionalFormatting>
  <conditionalFormatting sqref="N37:P37 R37:S37">
    <cfRule type="cellIs" dxfId="451" priority="68" stopIfTrue="1" operator="lessThan">
      <formula>0</formula>
    </cfRule>
  </conditionalFormatting>
  <conditionalFormatting sqref="J52:J61">
    <cfRule type="cellIs" dxfId="450" priority="60" stopIfTrue="1" operator="lessThan">
      <formula>0</formula>
    </cfRule>
  </conditionalFormatting>
  <conditionalFormatting sqref="H66:H75">
    <cfRule type="cellIs" dxfId="449" priority="52" stopIfTrue="1" operator="lessThan">
      <formula>0</formula>
    </cfRule>
  </conditionalFormatting>
  <conditionalFormatting sqref="E87:G89 I87:I89 K87:K89">
    <cfRule type="cellIs" dxfId="448" priority="44" stopIfTrue="1" operator="lessThan">
      <formula>0</formula>
    </cfRule>
  </conditionalFormatting>
  <conditionalFormatting sqref="R115:S117">
    <cfRule type="cellIs" dxfId="447" priority="36" stopIfTrue="1" operator="lessThan">
      <formula>0</formula>
    </cfRule>
  </conditionalFormatting>
  <conditionalFormatting sqref="N122:S123 E122:G124 I122:I124 K122:K124">
    <cfRule type="cellIs" dxfId="446" priority="28" stopIfTrue="1" operator="lessThan">
      <formula>0</formula>
    </cfRule>
  </conditionalFormatting>
  <conditionalFormatting sqref="N143:P145">
    <cfRule type="cellIs" dxfId="445" priority="20" stopIfTrue="1" operator="lessThan">
      <formula>0</formula>
    </cfRule>
  </conditionalFormatting>
  <conditionalFormatting sqref="N152:P152 R152:S152">
    <cfRule type="cellIs" dxfId="444" priority="12" stopIfTrue="1" operator="lessThan">
      <formula>0</formula>
    </cfRule>
  </conditionalFormatting>
  <conditionalFormatting sqref="J164:J173">
    <cfRule type="cellIs" dxfId="443" priority="4" stopIfTrue="1" operator="lessThan">
      <formula>0</formula>
    </cfRule>
  </conditionalFormatting>
  <conditionalFormatting sqref="J177:J902">
    <cfRule type="cellIs" dxfId="442" priority="209" stopIfTrue="1" operator="lessThan">
      <formula>0</formula>
    </cfRule>
  </conditionalFormatting>
  <conditionalFormatting sqref="E90:S92">
    <cfRule type="cellIs" dxfId="441" priority="85" stopIfTrue="1" operator="lessThan">
      <formula>0</formula>
    </cfRule>
  </conditionalFormatting>
  <conditionalFormatting sqref="E104:S106">
    <cfRule type="cellIs" dxfId="440" priority="86" stopIfTrue="1" operator="lessThan">
      <formula>0</formula>
    </cfRule>
  </conditionalFormatting>
  <conditionalFormatting sqref="N20:S22 E21:G23 I21:I23 K21:K23">
    <cfRule type="cellIs" dxfId="439" priority="77" stopIfTrue="1" operator="lessThan">
      <formula>0</formula>
    </cfRule>
  </conditionalFormatting>
  <conditionalFormatting sqref="R28:S30">
    <cfRule type="cellIs" dxfId="438" priority="78" stopIfTrue="1" operator="lessThan">
      <formula>0</formula>
    </cfRule>
  </conditionalFormatting>
  <conditionalFormatting sqref="N42:P47">
    <cfRule type="cellIs" dxfId="437" priority="69" stopIfTrue="1" operator="lessThan">
      <formula>0</formula>
    </cfRule>
  </conditionalFormatting>
  <conditionalFormatting sqref="N35:S36 E35:G37 I35:I37 K35:K37">
    <cfRule type="cellIs" dxfId="436" priority="70" stopIfTrue="1" operator="lessThan">
      <formula>0</formula>
    </cfRule>
  </conditionalFormatting>
  <conditionalFormatting sqref="N54:P54 R54:S54">
    <cfRule type="cellIs" dxfId="435" priority="61" stopIfTrue="1" operator="lessThan">
      <formula>0</formula>
    </cfRule>
  </conditionalFormatting>
  <conditionalFormatting sqref="N59:P61">
    <cfRule type="cellIs" dxfId="434" priority="62" stopIfTrue="1" operator="lessThan">
      <formula>0</formula>
    </cfRule>
  </conditionalFormatting>
  <conditionalFormatting sqref="J66:J75">
    <cfRule type="cellIs" dxfId="433" priority="53" stopIfTrue="1" operator="lessThan">
      <formula>0</formula>
    </cfRule>
  </conditionalFormatting>
  <conditionalFormatting sqref="N68:P68 R68:S68">
    <cfRule type="cellIs" dxfId="432" priority="54" stopIfTrue="1" operator="lessThan">
      <formula>0</formula>
    </cfRule>
  </conditionalFormatting>
  <conditionalFormatting sqref="H80:H89">
    <cfRule type="cellIs" dxfId="431" priority="45" stopIfTrue="1" operator="lessThan">
      <formula>0</formula>
    </cfRule>
  </conditionalFormatting>
  <conditionalFormatting sqref="J80:J89">
    <cfRule type="cellIs" dxfId="430" priority="46" stopIfTrue="1" operator="lessThan">
      <formula>0</formula>
    </cfRule>
  </conditionalFormatting>
  <conditionalFormatting sqref="E101:G103 I101:I103 K101:K103">
    <cfRule type="cellIs" dxfId="429" priority="37" stopIfTrue="1" operator="lessThan">
      <formula>0</formula>
    </cfRule>
  </conditionalFormatting>
  <conditionalFormatting sqref="H94:H103">
    <cfRule type="cellIs" dxfId="428" priority="38" stopIfTrue="1" operator="lessThan">
      <formula>0</formula>
    </cfRule>
  </conditionalFormatting>
  <conditionalFormatting sqref="R129:S131">
    <cfRule type="cellIs" dxfId="427" priority="29" stopIfTrue="1" operator="lessThan">
      <formula>0</formula>
    </cfRule>
  </conditionalFormatting>
  <conditionalFormatting sqref="E115:G117 I115:I117 K115:K117">
    <cfRule type="cellIs" dxfId="426" priority="30" stopIfTrue="1" operator="lessThan">
      <formula>0</formula>
    </cfRule>
  </conditionalFormatting>
  <conditionalFormatting sqref="N136:S137 E136:G138 I136:I138 K136:K138">
    <cfRule type="cellIs" dxfId="425" priority="21" stopIfTrue="1" operator="lessThan">
      <formula>0</formula>
    </cfRule>
  </conditionalFormatting>
  <conditionalFormatting sqref="R143:S145">
    <cfRule type="cellIs" dxfId="424" priority="22" stopIfTrue="1" operator="lessThan">
      <formula>0</formula>
    </cfRule>
  </conditionalFormatting>
  <conditionalFormatting sqref="N157:P159">
    <cfRule type="cellIs" dxfId="423" priority="13" stopIfTrue="1" operator="lessThan">
      <formula>0</formula>
    </cfRule>
  </conditionalFormatting>
  <conditionalFormatting sqref="N150:S151 E150:G152 I150:I152 K150:K152">
    <cfRule type="cellIs" dxfId="422" priority="14" stopIfTrue="1" operator="lessThan">
      <formula>0</formula>
    </cfRule>
  </conditionalFormatting>
  <conditionalFormatting sqref="N166:P166 R166:S166">
    <cfRule type="cellIs" dxfId="421" priority="5" stopIfTrue="1" operator="lessThan">
      <formula>0</formula>
    </cfRule>
  </conditionalFormatting>
  <conditionalFormatting sqref="N171:P173">
    <cfRule type="cellIs" dxfId="420" priority="6" stopIfTrue="1" operator="lessThan">
      <formula>0</formula>
    </cfRule>
  </conditionalFormatting>
  <conditionalFormatting sqref="E118:S120">
    <cfRule type="cellIs" dxfId="419" priority="87" stopIfTrue="1" operator="lessThan">
      <formula>0</formula>
    </cfRule>
  </conditionalFormatting>
  <conditionalFormatting sqref="R42:S47">
    <cfRule type="cellIs" dxfId="418" priority="71" stopIfTrue="1" operator="lessThan">
      <formula>0</formula>
    </cfRule>
  </conditionalFormatting>
  <conditionalFormatting sqref="N52:S53 E52:G54 I52:I54 K52:K54">
    <cfRule type="cellIs" dxfId="417" priority="63" stopIfTrue="1" operator="lessThan">
      <formula>0</formula>
    </cfRule>
  </conditionalFormatting>
  <conditionalFormatting sqref="N73:P75">
    <cfRule type="cellIs" dxfId="416" priority="55" stopIfTrue="1" operator="lessThan">
      <formula>0</formula>
    </cfRule>
  </conditionalFormatting>
  <conditionalFormatting sqref="N82:P82 R82:S82">
    <cfRule type="cellIs" dxfId="415" priority="47" stopIfTrue="1" operator="lessThan">
      <formula>0</formula>
    </cfRule>
  </conditionalFormatting>
  <conditionalFormatting sqref="J94:J103">
    <cfRule type="cellIs" dxfId="414" priority="39" stopIfTrue="1" operator="lessThan">
      <formula>0</formula>
    </cfRule>
  </conditionalFormatting>
  <conditionalFormatting sqref="H108:H117">
    <cfRule type="cellIs" dxfId="413" priority="31" stopIfTrue="1" operator="lessThan">
      <formula>0</formula>
    </cfRule>
  </conditionalFormatting>
  <conditionalFormatting sqref="E129:G131 I129:I131 K129:K131">
    <cfRule type="cellIs" dxfId="412" priority="23" stopIfTrue="1" operator="lessThan">
      <formula>0</formula>
    </cfRule>
  </conditionalFormatting>
  <conditionalFormatting sqref="R157:S159">
    <cfRule type="cellIs" dxfId="411" priority="15" stopIfTrue="1" operator="lessThan">
      <formula>0</formula>
    </cfRule>
  </conditionalFormatting>
  <conditionalFormatting sqref="N164:S165 E164:G166 I164:I166 K164:K166">
    <cfRule type="cellIs" dxfId="410" priority="7" stopIfTrue="1" operator="lessThan">
      <formula>0</formula>
    </cfRule>
  </conditionalFormatting>
  <conditionalFormatting sqref="E132:S134">
    <cfRule type="cellIs" dxfId="409" priority="88" stopIfTrue="1" operator="lessThan">
      <formula>0</formula>
    </cfRule>
  </conditionalFormatting>
  <conditionalFormatting sqref="E14:G16 I14:I16 K14:K16">
    <cfRule type="cellIs" dxfId="408" priority="80" stopIfTrue="1" operator="lessThan">
      <formula>0</formula>
    </cfRule>
  </conditionalFormatting>
  <conditionalFormatting sqref="E28:G30 I28:I30 K28:K30">
    <cfRule type="cellIs" dxfId="407" priority="72" stopIfTrue="1" operator="lessThan">
      <formula>0</formula>
    </cfRule>
  </conditionalFormatting>
  <conditionalFormatting sqref="R59:S61">
    <cfRule type="cellIs" dxfId="406" priority="64" stopIfTrue="1" operator="lessThan">
      <formula>0</formula>
    </cfRule>
  </conditionalFormatting>
  <conditionalFormatting sqref="N65:S67 E66:G68 I66:I68 K66:K68">
    <cfRule type="cellIs" dxfId="405" priority="56" stopIfTrue="1" operator="lessThan">
      <formula>0</formula>
    </cfRule>
  </conditionalFormatting>
  <conditionalFormatting sqref="N87:P89">
    <cfRule type="cellIs" dxfId="404" priority="48" stopIfTrue="1" operator="lessThan">
      <formula>0</formula>
    </cfRule>
  </conditionalFormatting>
  <conditionalFormatting sqref="N96:P96 R96:S96">
    <cfRule type="cellIs" dxfId="403" priority="40" stopIfTrue="1" operator="lessThan">
      <formula>0</formula>
    </cfRule>
  </conditionalFormatting>
  <conditionalFormatting sqref="J108:J117">
    <cfRule type="cellIs" dxfId="402" priority="32" stopIfTrue="1" operator="lessThan">
      <formula>0</formula>
    </cfRule>
  </conditionalFormatting>
  <conditionalFormatting sqref="H122:H131">
    <cfRule type="cellIs" dxfId="401" priority="24" stopIfTrue="1" operator="lessThan">
      <formula>0</formula>
    </cfRule>
  </conditionalFormatting>
  <conditionalFormatting sqref="E143:G145 I143:I145 K143:K145">
    <cfRule type="cellIs" dxfId="400" priority="16" stopIfTrue="1" operator="lessThan">
      <formula>0</formula>
    </cfRule>
  </conditionalFormatting>
  <conditionalFormatting sqref="R171:S173">
    <cfRule type="cellIs" dxfId="399" priority="8" stopIfTrue="1" operator="lessThan">
      <formula>0</formula>
    </cfRule>
  </conditionalFormatting>
  <conditionalFormatting sqref="A2:AE176">
    <cfRule type="cellIs" dxfId="398" priority="1" stopIfTrue="1" operator="lessThan">
      <formula>0</formula>
    </cfRule>
  </conditionalFormatting>
  <conditionalFormatting sqref="D4">
    <cfRule type="cellIs" dxfId="397" priority="79" operator="lessThan">
      <formula>0</formula>
    </cfRule>
  </conditionalFormatting>
  <conditionalFormatting sqref="E42:G47 I42:I47 K42:K47">
    <cfRule type="cellIs" dxfId="396" priority="65" stopIfTrue="1" operator="lessThan">
      <formula>0</formula>
    </cfRule>
  </conditionalFormatting>
  <conditionalFormatting sqref="E157:G159 I157:I159 K157:K159">
    <cfRule type="cellIs" dxfId="395" priority="9" stopIfTrue="1" operator="lessThan">
      <formula>0</formula>
    </cfRule>
  </conditionalFormatting>
  <conditionalFormatting sqref="E20:L20">
    <cfRule type="cellIs" dxfId="394" priority="81" stopIfTrue="1" operator="lessThan">
      <formula>0</formula>
    </cfRule>
  </conditionalFormatting>
  <conditionalFormatting sqref="E31:S33">
    <cfRule type="cellIs" dxfId="393" priority="96" stopIfTrue="1" operator="lessThan">
      <formula>0</formula>
    </cfRule>
  </conditionalFormatting>
  <conditionalFormatting sqref="E146:S148 E160:S162 E174:S176">
    <cfRule type="cellIs" dxfId="392" priority="89" stopIfTrue="1" operator="lessThan">
      <formula>0</formula>
    </cfRule>
  </conditionalFormatting>
  <conditionalFormatting sqref="H7:H16">
    <cfRule type="cellIs" dxfId="391" priority="90" stopIfTrue="1" operator="lessThan">
      <formula>0</formula>
    </cfRule>
  </conditionalFormatting>
  <conditionalFormatting sqref="H21:H30">
    <cfRule type="cellIs" dxfId="390" priority="73" stopIfTrue="1" operator="lessThan">
      <formula>0</formula>
    </cfRule>
  </conditionalFormatting>
  <conditionalFormatting sqref="H136:H145">
    <cfRule type="cellIs" dxfId="389" priority="17" stopIfTrue="1" operator="lessThan">
      <formula>0</formula>
    </cfRule>
  </conditionalFormatting>
  <conditionalFormatting sqref="J7:J16">
    <cfRule type="cellIs" dxfId="388" priority="91" stopIfTrue="1" operator="lessThan">
      <formula>0</formula>
    </cfRule>
  </conditionalFormatting>
  <conditionalFormatting sqref="J122:J131">
    <cfRule type="cellIs" dxfId="387" priority="25" stopIfTrue="1" operator="lessThan">
      <formula>0</formula>
    </cfRule>
  </conditionalFormatting>
  <conditionalFormatting sqref="N9:P9 R9:S9">
    <cfRule type="cellIs" dxfId="386" priority="92" stopIfTrue="1" operator="lessThan">
      <formula>0</formula>
    </cfRule>
  </conditionalFormatting>
  <conditionalFormatting sqref="N14:P16">
    <cfRule type="cellIs" dxfId="385" priority="93" stopIfTrue="1" operator="lessThan">
      <formula>0</formula>
    </cfRule>
  </conditionalFormatting>
  <conditionalFormatting sqref="N34:P34 R34:S34">
    <cfRule type="cellIs" dxfId="384" priority="94" stopIfTrue="1" operator="lessThan">
      <formula>0</formula>
    </cfRule>
  </conditionalFormatting>
  <conditionalFormatting sqref="N101:P103">
    <cfRule type="cellIs" dxfId="383" priority="41" stopIfTrue="1" operator="lessThan">
      <formula>0</formula>
    </cfRule>
  </conditionalFormatting>
  <conditionalFormatting sqref="N110:P110 R110:S110">
    <cfRule type="cellIs" dxfId="382" priority="33" stopIfTrue="1" operator="lessThan">
      <formula>0</formula>
    </cfRule>
  </conditionalFormatting>
  <conditionalFormatting sqref="N7:S8 E7:G9 I7:I9 K7:K9">
    <cfRule type="cellIs" dxfId="381" priority="95" stopIfTrue="1" operator="lessThan">
      <formula>0</formula>
    </cfRule>
  </conditionalFormatting>
  <conditionalFormatting sqref="N79:S81 E80:G82 I80:I82 K80:K82">
    <cfRule type="cellIs" dxfId="380" priority="49" stopIfTrue="1" operator="lessThan">
      <formula>0</formula>
    </cfRule>
  </conditionalFormatting>
  <conditionalFormatting sqref="R73:S75">
    <cfRule type="cellIs" dxfId="379" priority="57" stopIfTrue="1" operator="lessThan">
      <formula>0</formula>
    </cfRule>
  </conditionalFormatting>
  <pageMargins left="0.7" right="0.7" top="0.75" bottom="0.75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CC99"/>
  </sheetPr>
  <dimension ref="A1:U126"/>
  <sheetViews>
    <sheetView workbookViewId="0">
      <pane xSplit="4" ySplit="5" topLeftCell="O6" activePane="bottomRight" state="frozen"/>
      <selection activeCell="E13" sqref="E13"/>
      <selection pane="topRight" activeCell="E13" sqref="E13"/>
      <selection pane="bottomLeft" activeCell="E13" sqref="E13"/>
      <selection pane="bottomRight" sqref="A1:XFD1048576"/>
    </sheetView>
  </sheetViews>
  <sheetFormatPr defaultColWidth="14.42578125" defaultRowHeight="15" customHeight="1" x14ac:dyDescent="0.3"/>
  <cols>
    <col min="1" max="1" width="14.140625" style="1012" customWidth="1"/>
    <col min="2" max="2" width="13.5703125" style="1012" customWidth="1"/>
    <col min="3" max="3" width="12.42578125" style="1012" customWidth="1"/>
    <col min="4" max="4" width="69.140625" style="1012" customWidth="1"/>
    <col min="5" max="5" width="27.140625" style="1012" customWidth="1"/>
    <col min="6" max="6" width="28.42578125" style="1012" customWidth="1"/>
    <col min="7" max="8" width="38.140625" style="1012" customWidth="1"/>
    <col min="9" max="9" width="33.85546875" style="1012" customWidth="1"/>
    <col min="10" max="13" width="25.140625" style="1012" customWidth="1"/>
    <col min="14" max="14" width="27.42578125" style="1012" customWidth="1"/>
    <col min="15" max="15" width="18" style="1012" customWidth="1"/>
    <col min="16" max="16" width="20" style="1012" customWidth="1"/>
    <col min="17" max="17" width="17.140625" style="1012" customWidth="1"/>
    <col min="18" max="18" width="14.140625" style="1012" customWidth="1"/>
    <col min="19" max="19" width="16" style="1012" customWidth="1"/>
    <col min="20" max="20" width="16.85546875" style="1012" customWidth="1"/>
    <col min="21" max="21" width="14.85546875" style="1012" customWidth="1"/>
    <col min="22" max="26" width="8.7109375" style="1012" customWidth="1"/>
    <col min="27" max="16384" width="14.42578125" style="1012"/>
  </cols>
  <sheetData>
    <row r="1" spans="1:21" ht="21" customHeight="1" x14ac:dyDescent="0.3">
      <c r="A1" s="917"/>
      <c r="B1" s="876"/>
      <c r="C1" s="876"/>
      <c r="D1" s="918" t="s">
        <v>1254</v>
      </c>
      <c r="E1" s="1223" t="s">
        <v>876</v>
      </c>
      <c r="F1" s="1223"/>
      <c r="G1" s="1221" t="s">
        <v>336</v>
      </c>
      <c r="H1" s="1221"/>
      <c r="I1" s="1222"/>
      <c r="J1" s="1224" t="s">
        <v>1276</v>
      </c>
      <c r="K1" s="1224"/>
      <c r="L1" s="919"/>
      <c r="M1" s="919"/>
      <c r="N1" s="920"/>
      <c r="O1" s="917"/>
      <c r="P1" s="458"/>
      <c r="Q1" s="41"/>
      <c r="R1" s="37"/>
      <c r="S1" s="37"/>
      <c r="T1" s="37"/>
      <c r="U1" s="41"/>
    </row>
    <row r="2" spans="1:21" ht="21" customHeight="1" x14ac:dyDescent="0.3">
      <c r="A2" s="921" t="s">
        <v>201</v>
      </c>
      <c r="B2" s="921" t="s">
        <v>202</v>
      </c>
      <c r="C2" s="922" t="s">
        <v>1198</v>
      </c>
      <c r="D2" s="921" t="s">
        <v>77</v>
      </c>
      <c r="E2" s="923" t="s">
        <v>1256</v>
      </c>
      <c r="F2" s="923" t="s">
        <v>1255</v>
      </c>
      <c r="G2" s="921" t="s">
        <v>1257</v>
      </c>
      <c r="H2" s="924" t="s">
        <v>1258</v>
      </c>
      <c r="I2" s="924" t="s">
        <v>337</v>
      </c>
      <c r="J2" s="933" t="s">
        <v>1277</v>
      </c>
      <c r="K2" s="924"/>
      <c r="L2" s="924"/>
      <c r="M2" s="924"/>
      <c r="N2" s="923"/>
      <c r="O2" s="921" t="s">
        <v>208</v>
      </c>
      <c r="P2" s="865" t="s">
        <v>273</v>
      </c>
      <c r="Q2" s="866" t="s">
        <v>274</v>
      </c>
      <c r="R2" s="867" t="s">
        <v>275</v>
      </c>
      <c r="S2" s="868" t="s">
        <v>276</v>
      </c>
      <c r="T2" s="869" t="s">
        <v>86</v>
      </c>
      <c r="U2" s="867" t="s">
        <v>277</v>
      </c>
    </row>
    <row r="3" spans="1:21" ht="21" customHeight="1" x14ac:dyDescent="0.3">
      <c r="A3" s="1042"/>
      <c r="B3" s="13"/>
      <c r="C3" s="1043"/>
      <c r="D3" s="799" t="s">
        <v>209</v>
      </c>
      <c r="E3" s="914">
        <v>0</v>
      </c>
      <c r="F3" s="914">
        <v>0</v>
      </c>
      <c r="G3" s="914">
        <v>0</v>
      </c>
      <c r="H3" s="914"/>
      <c r="I3" s="914">
        <v>0</v>
      </c>
      <c r="J3" s="914">
        <v>0</v>
      </c>
      <c r="K3" s="914">
        <v>0</v>
      </c>
      <c r="L3" s="914">
        <v>0</v>
      </c>
      <c r="M3" s="914">
        <v>0</v>
      </c>
      <c r="N3" s="914">
        <v>0</v>
      </c>
      <c r="O3" s="914">
        <f>SUM(E3:N3)</f>
        <v>0</v>
      </c>
      <c r="P3" s="460"/>
      <c r="Q3" s="18"/>
      <c r="R3" s="17"/>
      <c r="S3" s="17"/>
      <c r="T3" s="17"/>
      <c r="U3" s="18"/>
    </row>
    <row r="4" spans="1:21" ht="21" customHeight="1" x14ac:dyDescent="0.3">
      <c r="A4" s="1100"/>
      <c r="B4" s="20"/>
      <c r="C4" s="1046"/>
      <c r="D4" s="800" t="s">
        <v>1203</v>
      </c>
      <c r="E4" s="915">
        <v>2675000</v>
      </c>
      <c r="F4" s="915">
        <v>2782000</v>
      </c>
      <c r="G4" s="915">
        <v>69646000</v>
      </c>
      <c r="H4" s="915">
        <v>6711000</v>
      </c>
      <c r="I4" s="915">
        <v>5591600</v>
      </c>
      <c r="J4" s="915">
        <v>11119200</v>
      </c>
      <c r="K4" s="915"/>
      <c r="L4" s="915"/>
      <c r="M4" s="915"/>
      <c r="N4" s="915"/>
      <c r="O4" s="807">
        <f>SUM(E4:N4)</f>
        <v>98524800</v>
      </c>
      <c r="P4" s="460"/>
      <c r="Q4" s="18"/>
      <c r="R4" s="17"/>
      <c r="S4" s="17"/>
      <c r="T4" s="17"/>
      <c r="U4" s="17"/>
    </row>
    <row r="5" spans="1:21" ht="21" customHeight="1" x14ac:dyDescent="0.3">
      <c r="A5" s="1101"/>
      <c r="B5" s="461"/>
      <c r="C5" s="736"/>
      <c r="D5" s="815" t="s">
        <v>211</v>
      </c>
      <c r="E5" s="1102" t="s">
        <v>53</v>
      </c>
      <c r="F5" s="1102" t="s">
        <v>53</v>
      </c>
      <c r="G5" s="915"/>
      <c r="H5" s="915"/>
      <c r="I5" s="915"/>
      <c r="J5" s="915"/>
      <c r="K5" s="915"/>
      <c r="L5" s="915"/>
      <c r="M5" s="915"/>
      <c r="N5" s="915"/>
      <c r="O5" s="1101"/>
      <c r="P5" s="462"/>
      <c r="Q5" s="29"/>
      <c r="R5" s="4"/>
      <c r="S5" s="4"/>
      <c r="T5" s="4"/>
      <c r="U5" s="29"/>
    </row>
    <row r="6" spans="1:21" ht="21" customHeight="1" x14ac:dyDescent="0.3">
      <c r="A6" s="1103" t="s">
        <v>212</v>
      </c>
      <c r="B6" s="42"/>
      <c r="C6" s="955"/>
      <c r="D6" s="41"/>
      <c r="E6" s="684"/>
      <c r="F6" s="684"/>
      <c r="G6" s="684"/>
      <c r="H6" s="684"/>
      <c r="I6" s="684"/>
      <c r="J6" s="684"/>
      <c r="K6" s="684"/>
      <c r="L6" s="684"/>
      <c r="M6" s="684"/>
      <c r="N6" s="684"/>
      <c r="O6" s="1095"/>
      <c r="P6" s="458"/>
      <c r="Q6" s="41"/>
      <c r="R6" s="37"/>
      <c r="S6" s="37"/>
      <c r="T6" s="37"/>
      <c r="U6" s="41"/>
    </row>
    <row r="7" spans="1:21" ht="21" customHeight="1" x14ac:dyDescent="0.3">
      <c r="A7" s="1104"/>
      <c r="B7" s="42"/>
      <c r="C7" s="955"/>
      <c r="D7" s="41"/>
      <c r="E7" s="684"/>
      <c r="F7" s="684"/>
      <c r="G7" s="684"/>
      <c r="H7" s="684"/>
      <c r="I7" s="684"/>
      <c r="J7" s="684"/>
      <c r="K7" s="684"/>
      <c r="L7" s="684"/>
      <c r="M7" s="684"/>
      <c r="N7" s="684"/>
      <c r="O7" s="1095"/>
      <c r="P7" s="458"/>
      <c r="Q7" s="41"/>
      <c r="R7" s="37"/>
      <c r="S7" s="37"/>
      <c r="T7" s="37"/>
      <c r="U7" s="41"/>
    </row>
    <row r="8" spans="1:21" ht="21" customHeight="1" x14ac:dyDescent="0.3">
      <c r="A8" s="1104"/>
      <c r="B8" s="42"/>
      <c r="C8" s="955"/>
      <c r="D8" s="41"/>
      <c r="E8" s="684"/>
      <c r="F8" s="684"/>
      <c r="G8" s="684"/>
      <c r="H8" s="684"/>
      <c r="I8" s="684"/>
      <c r="J8" s="684"/>
      <c r="K8" s="684"/>
      <c r="L8" s="684"/>
      <c r="M8" s="684"/>
      <c r="N8" s="684"/>
      <c r="O8" s="1095"/>
      <c r="P8" s="458"/>
      <c r="Q8" s="41"/>
      <c r="R8" s="37"/>
      <c r="S8" s="37"/>
      <c r="T8" s="37"/>
      <c r="U8" s="41"/>
    </row>
    <row r="9" spans="1:21" ht="21" customHeight="1" x14ac:dyDescent="0.3">
      <c r="A9" s="1104"/>
      <c r="B9" s="42"/>
      <c r="C9" s="955"/>
      <c r="D9" s="41"/>
      <c r="E9" s="684"/>
      <c r="F9" s="684"/>
      <c r="G9" s="684"/>
      <c r="H9" s="684"/>
      <c r="I9" s="684"/>
      <c r="J9" s="684"/>
      <c r="K9" s="684"/>
      <c r="L9" s="684"/>
      <c r="M9" s="684"/>
      <c r="N9" s="684"/>
      <c r="O9" s="1095"/>
      <c r="P9" s="458"/>
      <c r="Q9" s="41"/>
      <c r="R9" s="37"/>
      <c r="S9" s="37"/>
      <c r="T9" s="37"/>
      <c r="U9" s="41"/>
    </row>
    <row r="10" spans="1:21" ht="21" customHeight="1" x14ac:dyDescent="0.3">
      <c r="A10" s="691"/>
      <c r="B10" s="42"/>
      <c r="C10" s="955"/>
      <c r="D10" s="41"/>
      <c r="E10" s="684"/>
      <c r="F10" s="684"/>
      <c r="G10" s="684"/>
      <c r="H10" s="684"/>
      <c r="I10" s="684"/>
      <c r="J10" s="684"/>
      <c r="K10" s="684"/>
      <c r="L10" s="684"/>
      <c r="M10" s="684"/>
      <c r="N10" s="684"/>
      <c r="O10" s="1095"/>
      <c r="P10" s="458"/>
      <c r="Q10" s="41"/>
      <c r="R10" s="37"/>
      <c r="S10" s="37"/>
      <c r="T10" s="37"/>
      <c r="U10" s="41"/>
    </row>
    <row r="11" spans="1:21" ht="21" customHeight="1" x14ac:dyDescent="0.3">
      <c r="A11" s="1008"/>
      <c r="B11" s="1032"/>
      <c r="C11" s="1033"/>
      <c r="D11" s="1034"/>
      <c r="E11" s="916"/>
      <c r="F11" s="916"/>
      <c r="G11" s="916"/>
      <c r="H11" s="916"/>
      <c r="I11" s="916"/>
      <c r="J11" s="916"/>
      <c r="K11" s="916"/>
      <c r="L11" s="916"/>
      <c r="M11" s="916"/>
      <c r="N11" s="916"/>
      <c r="O11" s="1105"/>
      <c r="P11" s="458"/>
      <c r="Q11" s="41"/>
      <c r="R11" s="37"/>
      <c r="S11" s="37"/>
      <c r="T11" s="37"/>
      <c r="U11" s="41"/>
    </row>
    <row r="12" spans="1:21" ht="21" customHeight="1" x14ac:dyDescent="0.3">
      <c r="A12" s="925"/>
      <c r="B12" s="926"/>
      <c r="C12" s="926"/>
      <c r="D12" s="465" t="s">
        <v>213</v>
      </c>
      <c r="E12" s="466">
        <f t="shared" ref="E12:N12" si="0">SUM(E6:E11)</f>
        <v>0</v>
      </c>
      <c r="F12" s="466">
        <f t="shared" si="0"/>
        <v>0</v>
      </c>
      <c r="G12" s="466">
        <f t="shared" si="0"/>
        <v>0</v>
      </c>
      <c r="H12" s="466"/>
      <c r="I12" s="466">
        <f t="shared" si="0"/>
        <v>0</v>
      </c>
      <c r="J12" s="466">
        <f t="shared" si="0"/>
        <v>0</v>
      </c>
      <c r="K12" s="466">
        <f t="shared" si="0"/>
        <v>0</v>
      </c>
      <c r="L12" s="466">
        <f t="shared" si="0"/>
        <v>0</v>
      </c>
      <c r="M12" s="466">
        <f t="shared" si="0"/>
        <v>0</v>
      </c>
      <c r="N12" s="466">
        <f t="shared" si="0"/>
        <v>0</v>
      </c>
      <c r="O12" s="467">
        <f>SUM(E12:N12)</f>
        <v>0</v>
      </c>
      <c r="P12" s="468"/>
      <c r="Q12" s="18"/>
      <c r="R12" s="17"/>
      <c r="S12" s="17"/>
      <c r="T12" s="17"/>
      <c r="U12" s="18"/>
    </row>
    <row r="13" spans="1:21" ht="21" customHeight="1" x14ac:dyDescent="0.3">
      <c r="A13" s="925"/>
      <c r="B13" s="926"/>
      <c r="C13" s="926"/>
      <c r="D13" s="465" t="s">
        <v>341</v>
      </c>
      <c r="E13" s="466">
        <f t="shared" ref="E13:N13" si="1">SUM(E3+E12)</f>
        <v>0</v>
      </c>
      <c r="F13" s="466">
        <f t="shared" si="1"/>
        <v>0</v>
      </c>
      <c r="G13" s="466">
        <f t="shared" si="1"/>
        <v>0</v>
      </c>
      <c r="H13" s="466"/>
      <c r="I13" s="466">
        <f t="shared" si="1"/>
        <v>0</v>
      </c>
      <c r="J13" s="466">
        <f t="shared" si="1"/>
        <v>0</v>
      </c>
      <c r="K13" s="466">
        <f t="shared" si="1"/>
        <v>0</v>
      </c>
      <c r="L13" s="466">
        <f t="shared" si="1"/>
        <v>0</v>
      </c>
      <c r="M13" s="466">
        <f t="shared" si="1"/>
        <v>0</v>
      </c>
      <c r="N13" s="466">
        <f t="shared" si="1"/>
        <v>0</v>
      </c>
      <c r="O13" s="466">
        <f>SUM(E13:N13)</f>
        <v>0</v>
      </c>
      <c r="P13" s="468"/>
      <c r="Q13" s="18"/>
      <c r="R13" s="17"/>
      <c r="S13" s="17"/>
      <c r="T13" s="17"/>
      <c r="U13" s="18"/>
    </row>
    <row r="14" spans="1:21" ht="21" customHeight="1" x14ac:dyDescent="0.3">
      <c r="A14" s="927"/>
      <c r="B14" s="928"/>
      <c r="C14" s="928"/>
      <c r="D14" s="471" t="s">
        <v>210</v>
      </c>
      <c r="E14" s="472">
        <f t="shared" ref="E14:N14" si="2">SUM(E4-E12)</f>
        <v>2675000</v>
      </c>
      <c r="F14" s="472">
        <f t="shared" si="2"/>
        <v>2782000</v>
      </c>
      <c r="G14" s="472">
        <f t="shared" si="2"/>
        <v>69646000</v>
      </c>
      <c r="H14" s="472">
        <f t="shared" si="2"/>
        <v>6711000</v>
      </c>
      <c r="I14" s="472">
        <f t="shared" si="2"/>
        <v>5591600</v>
      </c>
      <c r="J14" s="472">
        <f t="shared" si="2"/>
        <v>11119200</v>
      </c>
      <c r="K14" s="472">
        <f t="shared" si="2"/>
        <v>0</v>
      </c>
      <c r="L14" s="472">
        <f t="shared" si="2"/>
        <v>0</v>
      </c>
      <c r="M14" s="472">
        <f t="shared" si="2"/>
        <v>0</v>
      </c>
      <c r="N14" s="472">
        <f t="shared" si="2"/>
        <v>0</v>
      </c>
      <c r="O14" s="472">
        <f>SUM(E14:N14)</f>
        <v>98524800</v>
      </c>
      <c r="P14" s="468"/>
      <c r="Q14" s="18"/>
      <c r="R14" s="17"/>
      <c r="S14" s="17"/>
      <c r="T14" s="17"/>
      <c r="U14" s="18"/>
    </row>
    <row r="15" spans="1:21" ht="21" customHeight="1" x14ac:dyDescent="0.3">
      <c r="A15" s="1103" t="s">
        <v>216</v>
      </c>
      <c r="B15" s="42"/>
      <c r="C15" s="955"/>
      <c r="D15" s="41"/>
      <c r="E15" s="684"/>
      <c r="F15" s="684"/>
      <c r="G15" s="684"/>
      <c r="H15" s="684"/>
      <c r="I15" s="684"/>
      <c r="J15" s="684"/>
      <c r="K15" s="684"/>
      <c r="L15" s="684"/>
      <c r="M15" s="684"/>
      <c r="N15" s="684"/>
      <c r="O15" s="1095"/>
      <c r="P15" s="458"/>
      <c r="Q15" s="41"/>
      <c r="R15" s="37"/>
      <c r="S15" s="37"/>
      <c r="T15" s="37"/>
      <c r="U15" s="41"/>
    </row>
    <row r="21" spans="1:15" ht="21" customHeight="1" x14ac:dyDescent="0.3">
      <c r="A21" s="929"/>
      <c r="B21" s="930"/>
      <c r="C21" s="930"/>
      <c r="D21" s="149" t="s">
        <v>217</v>
      </c>
      <c r="E21" s="150">
        <f t="shared" ref="E21:N21" si="3">SUM(E15:E20)</f>
        <v>0</v>
      </c>
      <c r="F21" s="150">
        <f t="shared" si="3"/>
        <v>0</v>
      </c>
      <c r="G21" s="150">
        <f t="shared" si="3"/>
        <v>0</v>
      </c>
      <c r="H21" s="150"/>
      <c r="I21" s="150">
        <f t="shared" si="3"/>
        <v>0</v>
      </c>
      <c r="J21" s="150">
        <f t="shared" si="3"/>
        <v>0</v>
      </c>
      <c r="K21" s="150">
        <f t="shared" si="3"/>
        <v>0</v>
      </c>
      <c r="L21" s="150">
        <f t="shared" si="3"/>
        <v>0</v>
      </c>
      <c r="M21" s="150">
        <f t="shared" si="3"/>
        <v>0</v>
      </c>
      <c r="N21" s="150">
        <f t="shared" si="3"/>
        <v>0</v>
      </c>
      <c r="O21" s="156">
        <f>SUM(E21:N21)</f>
        <v>0</v>
      </c>
    </row>
    <row r="22" spans="1:15" ht="21" customHeight="1" x14ac:dyDescent="0.3">
      <c r="A22" s="929"/>
      <c r="B22" s="930"/>
      <c r="C22" s="930"/>
      <c r="D22" s="149" t="s">
        <v>218</v>
      </c>
      <c r="E22" s="150">
        <f t="shared" ref="E22:N22" si="4">SUM(E13+E21)</f>
        <v>0</v>
      </c>
      <c r="F22" s="150">
        <f t="shared" si="4"/>
        <v>0</v>
      </c>
      <c r="G22" s="150">
        <f t="shared" si="4"/>
        <v>0</v>
      </c>
      <c r="H22" s="150"/>
      <c r="I22" s="150">
        <f t="shared" si="4"/>
        <v>0</v>
      </c>
      <c r="J22" s="150">
        <f t="shared" si="4"/>
        <v>0</v>
      </c>
      <c r="K22" s="150">
        <f t="shared" si="4"/>
        <v>0</v>
      </c>
      <c r="L22" s="150">
        <f t="shared" si="4"/>
        <v>0</v>
      </c>
      <c r="M22" s="150">
        <f t="shared" si="4"/>
        <v>0</v>
      </c>
      <c r="N22" s="150">
        <f t="shared" si="4"/>
        <v>0</v>
      </c>
      <c r="O22" s="150">
        <f>SUM(E22:N22)</f>
        <v>0</v>
      </c>
    </row>
    <row r="23" spans="1:15" ht="21" customHeight="1" x14ac:dyDescent="0.3">
      <c r="A23" s="931"/>
      <c r="B23" s="932"/>
      <c r="C23" s="932"/>
      <c r="D23" s="152" t="s">
        <v>219</v>
      </c>
      <c r="E23" s="153">
        <f t="shared" ref="E23:N23" si="5">SUM(E14-E21)</f>
        <v>2675000</v>
      </c>
      <c r="F23" s="153">
        <f t="shared" si="5"/>
        <v>2782000</v>
      </c>
      <c r="G23" s="153">
        <f t="shared" si="5"/>
        <v>69646000</v>
      </c>
      <c r="H23" s="153">
        <f t="shared" si="5"/>
        <v>6711000</v>
      </c>
      <c r="I23" s="153">
        <f t="shared" si="5"/>
        <v>5591600</v>
      </c>
      <c r="J23" s="153">
        <f t="shared" si="5"/>
        <v>11119200</v>
      </c>
      <c r="K23" s="153">
        <f t="shared" si="5"/>
        <v>0</v>
      </c>
      <c r="L23" s="153">
        <f t="shared" si="5"/>
        <v>0</v>
      </c>
      <c r="M23" s="153">
        <f t="shared" si="5"/>
        <v>0</v>
      </c>
      <c r="N23" s="153">
        <f t="shared" si="5"/>
        <v>0</v>
      </c>
      <c r="O23" s="153">
        <f>SUM(E23:N23)</f>
        <v>98524800</v>
      </c>
    </row>
    <row r="24" spans="1:15" ht="21" customHeight="1" x14ac:dyDescent="0.3">
      <c r="A24" s="1103" t="s">
        <v>220</v>
      </c>
      <c r="B24" s="42"/>
      <c r="C24" s="955"/>
      <c r="D24" s="41"/>
      <c r="E24" s="684"/>
      <c r="F24" s="684"/>
      <c r="G24" s="684"/>
      <c r="H24" s="684"/>
      <c r="I24" s="684"/>
      <c r="J24" s="684"/>
      <c r="K24" s="684"/>
      <c r="L24" s="684"/>
      <c r="M24" s="684"/>
      <c r="N24" s="684"/>
      <c r="O24" s="1095"/>
    </row>
    <row r="25" spans="1:15" ht="21" customHeight="1" x14ac:dyDescent="0.3">
      <c r="A25" s="1104"/>
      <c r="B25" s="42"/>
      <c r="C25" s="955"/>
      <c r="D25" s="34"/>
      <c r="E25" s="684"/>
      <c r="F25" s="684"/>
      <c r="G25" s="684"/>
      <c r="H25" s="684"/>
      <c r="I25" s="684"/>
      <c r="J25" s="684"/>
      <c r="K25" s="684"/>
      <c r="L25" s="684"/>
      <c r="M25" s="684"/>
      <c r="N25" s="684"/>
      <c r="O25" s="1095"/>
    </row>
    <row r="26" spans="1:15" ht="21" customHeight="1" x14ac:dyDescent="0.3">
      <c r="A26" s="1104"/>
      <c r="B26" s="42"/>
      <c r="C26" s="840"/>
      <c r="D26" s="34"/>
      <c r="E26" s="684"/>
      <c r="F26" s="684"/>
      <c r="G26" s="684"/>
      <c r="H26" s="684"/>
      <c r="I26" s="684"/>
      <c r="J26" s="684"/>
      <c r="K26" s="684"/>
      <c r="L26" s="684"/>
      <c r="M26" s="684"/>
      <c r="N26" s="684"/>
      <c r="O26" s="1095"/>
    </row>
    <row r="27" spans="1:15" ht="21" customHeight="1" x14ac:dyDescent="0.3">
      <c r="A27" s="1104"/>
      <c r="B27" s="42"/>
      <c r="C27" s="955"/>
      <c r="D27" s="41"/>
      <c r="E27" s="684"/>
      <c r="F27" s="684"/>
      <c r="G27" s="684"/>
      <c r="H27" s="684"/>
      <c r="I27" s="684"/>
      <c r="J27" s="684"/>
      <c r="K27" s="684"/>
      <c r="L27" s="684"/>
      <c r="M27" s="684"/>
      <c r="N27" s="684"/>
      <c r="O27" s="1095"/>
    </row>
    <row r="28" spans="1:15" ht="21" customHeight="1" x14ac:dyDescent="0.3">
      <c r="A28" s="1104"/>
      <c r="B28" s="42"/>
      <c r="C28" s="955"/>
      <c r="D28" s="41"/>
      <c r="E28" s="684"/>
      <c r="F28" s="684"/>
      <c r="G28" s="684"/>
      <c r="H28" s="684"/>
      <c r="I28" s="684"/>
      <c r="J28" s="684"/>
      <c r="K28" s="684"/>
      <c r="L28" s="684"/>
      <c r="M28" s="684"/>
      <c r="N28" s="684"/>
      <c r="O28" s="1095"/>
    </row>
    <row r="29" spans="1:15" ht="21" customHeight="1" x14ac:dyDescent="0.3">
      <c r="A29" s="1106"/>
      <c r="B29" s="67"/>
      <c r="C29" s="1107"/>
      <c r="D29" s="69"/>
      <c r="E29" s="684"/>
      <c r="F29" s="684"/>
      <c r="G29" s="684"/>
      <c r="H29" s="684"/>
      <c r="I29" s="684"/>
      <c r="J29" s="684"/>
      <c r="K29" s="684"/>
      <c r="L29" s="684"/>
      <c r="M29" s="684"/>
      <c r="N29" s="684"/>
      <c r="O29" s="1095"/>
    </row>
    <row r="30" spans="1:15" ht="21" customHeight="1" x14ac:dyDescent="0.3">
      <c r="A30" s="691"/>
      <c r="B30" s="42"/>
      <c r="C30" s="955"/>
      <c r="D30" s="41"/>
      <c r="E30" s="684"/>
      <c r="F30" s="684"/>
      <c r="G30" s="684"/>
      <c r="H30" s="684"/>
      <c r="I30" s="684"/>
      <c r="J30" s="684"/>
      <c r="K30" s="684"/>
      <c r="L30" s="684"/>
      <c r="M30" s="684"/>
      <c r="N30" s="684"/>
      <c r="O30" s="1095"/>
    </row>
    <row r="31" spans="1:15" ht="21" customHeight="1" x14ac:dyDescent="0.3">
      <c r="A31" s="1008"/>
      <c r="B31" s="1032"/>
      <c r="C31" s="1033"/>
      <c r="D31" s="1034"/>
      <c r="E31" s="916"/>
      <c r="F31" s="916"/>
      <c r="G31" s="916"/>
      <c r="H31" s="916"/>
      <c r="I31" s="916"/>
      <c r="J31" s="916"/>
      <c r="K31" s="916"/>
      <c r="L31" s="916"/>
      <c r="M31" s="916"/>
      <c r="N31" s="916"/>
      <c r="O31" s="1105"/>
    </row>
    <row r="32" spans="1:15" ht="21" customHeight="1" x14ac:dyDescent="0.3">
      <c r="A32" s="929"/>
      <c r="B32" s="930"/>
      <c r="C32" s="930"/>
      <c r="D32" s="149" t="s">
        <v>221</v>
      </c>
      <c r="E32" s="150">
        <f t="shared" ref="E32:N32" si="6">SUM(E24:E31)</f>
        <v>0</v>
      </c>
      <c r="F32" s="150">
        <f t="shared" si="6"/>
        <v>0</v>
      </c>
      <c r="G32" s="150">
        <f t="shared" si="6"/>
        <v>0</v>
      </c>
      <c r="H32" s="150"/>
      <c r="I32" s="150">
        <f t="shared" si="6"/>
        <v>0</v>
      </c>
      <c r="J32" s="150">
        <f t="shared" si="6"/>
        <v>0</v>
      </c>
      <c r="K32" s="150">
        <f t="shared" si="6"/>
        <v>0</v>
      </c>
      <c r="L32" s="150">
        <f t="shared" si="6"/>
        <v>0</v>
      </c>
      <c r="M32" s="150">
        <f t="shared" si="6"/>
        <v>0</v>
      </c>
      <c r="N32" s="150">
        <f t="shared" si="6"/>
        <v>0</v>
      </c>
      <c r="O32" s="156">
        <f>SUM(E32:N32)</f>
        <v>0</v>
      </c>
    </row>
    <row r="33" spans="1:15" ht="21" customHeight="1" x14ac:dyDescent="0.3">
      <c r="A33" s="929"/>
      <c r="B33" s="930"/>
      <c r="C33" s="930"/>
      <c r="D33" s="149" t="s">
        <v>222</v>
      </c>
      <c r="E33" s="150">
        <f t="shared" ref="E33:N33" si="7">SUM(E22+E32)</f>
        <v>0</v>
      </c>
      <c r="F33" s="150">
        <f t="shared" si="7"/>
        <v>0</v>
      </c>
      <c r="G33" s="150">
        <f t="shared" si="7"/>
        <v>0</v>
      </c>
      <c r="H33" s="150"/>
      <c r="I33" s="150">
        <f t="shared" si="7"/>
        <v>0</v>
      </c>
      <c r="J33" s="150">
        <f t="shared" si="7"/>
        <v>0</v>
      </c>
      <c r="K33" s="150">
        <f t="shared" si="7"/>
        <v>0</v>
      </c>
      <c r="L33" s="150">
        <f t="shared" si="7"/>
        <v>0</v>
      </c>
      <c r="M33" s="150">
        <f t="shared" si="7"/>
        <v>0</v>
      </c>
      <c r="N33" s="150">
        <f t="shared" si="7"/>
        <v>0</v>
      </c>
      <c r="O33" s="150">
        <f>SUM(E33:N33)</f>
        <v>0</v>
      </c>
    </row>
    <row r="34" spans="1:15" ht="21" customHeight="1" x14ac:dyDescent="0.3">
      <c r="A34" s="931"/>
      <c r="B34" s="932"/>
      <c r="C34" s="932"/>
      <c r="D34" s="152" t="s">
        <v>223</v>
      </c>
      <c r="E34" s="153">
        <f t="shared" ref="E34:N34" si="8">SUM(E23-E32)</f>
        <v>2675000</v>
      </c>
      <c r="F34" s="153">
        <f t="shared" si="8"/>
        <v>2782000</v>
      </c>
      <c r="G34" s="153">
        <f t="shared" si="8"/>
        <v>69646000</v>
      </c>
      <c r="H34" s="153">
        <f t="shared" si="8"/>
        <v>6711000</v>
      </c>
      <c r="I34" s="153">
        <f t="shared" si="8"/>
        <v>5591600</v>
      </c>
      <c r="J34" s="153">
        <f t="shared" si="8"/>
        <v>11119200</v>
      </c>
      <c r="K34" s="153">
        <f t="shared" si="8"/>
        <v>0</v>
      </c>
      <c r="L34" s="153">
        <f t="shared" si="8"/>
        <v>0</v>
      </c>
      <c r="M34" s="153">
        <f t="shared" si="8"/>
        <v>0</v>
      </c>
      <c r="N34" s="153">
        <f t="shared" si="8"/>
        <v>0</v>
      </c>
      <c r="O34" s="153">
        <f>SUM(E34:N34)</f>
        <v>98524800</v>
      </c>
    </row>
    <row r="35" spans="1:15" ht="21" customHeight="1" x14ac:dyDescent="0.3">
      <c r="A35" s="1103" t="s">
        <v>224</v>
      </c>
      <c r="B35" s="42"/>
      <c r="C35" s="955"/>
      <c r="D35" s="41"/>
      <c r="E35" s="684"/>
      <c r="F35" s="684"/>
      <c r="G35" s="684"/>
      <c r="H35" s="684"/>
      <c r="I35" s="684"/>
      <c r="J35" s="684"/>
      <c r="K35" s="684"/>
      <c r="L35" s="684"/>
      <c r="M35" s="684"/>
      <c r="N35" s="684"/>
      <c r="O35" s="1095"/>
    </row>
    <row r="36" spans="1:15" ht="21" customHeight="1" x14ac:dyDescent="0.3">
      <c r="A36" s="1104"/>
      <c r="B36" s="42"/>
      <c r="C36" s="955"/>
      <c r="D36" s="41"/>
      <c r="E36" s="684"/>
      <c r="F36" s="684"/>
      <c r="G36" s="684"/>
      <c r="H36" s="684"/>
      <c r="I36" s="684"/>
      <c r="J36" s="684"/>
      <c r="K36" s="684"/>
      <c r="L36" s="684"/>
      <c r="M36" s="684"/>
      <c r="N36" s="684"/>
      <c r="O36" s="1095"/>
    </row>
    <row r="37" spans="1:15" ht="21" customHeight="1" x14ac:dyDescent="0.3">
      <c r="A37" s="1104"/>
      <c r="B37" s="42"/>
      <c r="C37" s="955"/>
      <c r="D37" s="41"/>
      <c r="E37" s="684"/>
      <c r="F37" s="684"/>
      <c r="G37" s="684"/>
      <c r="H37" s="684"/>
      <c r="I37" s="684"/>
      <c r="J37" s="684"/>
      <c r="K37" s="684"/>
      <c r="L37" s="684"/>
      <c r="M37" s="684"/>
      <c r="N37" s="684"/>
      <c r="O37" s="1095"/>
    </row>
    <row r="38" spans="1:15" ht="21" customHeight="1" x14ac:dyDescent="0.3">
      <c r="A38" s="1104"/>
      <c r="B38" s="42"/>
      <c r="C38" s="955"/>
      <c r="D38" s="41"/>
      <c r="E38" s="684"/>
      <c r="F38" s="684"/>
      <c r="G38" s="684"/>
      <c r="H38" s="684"/>
      <c r="I38" s="684"/>
      <c r="J38" s="684"/>
      <c r="K38" s="684"/>
      <c r="L38" s="684"/>
      <c r="M38" s="684"/>
      <c r="N38" s="684"/>
      <c r="O38" s="1095"/>
    </row>
    <row r="39" spans="1:15" ht="21" customHeight="1" x14ac:dyDescent="0.3">
      <c r="A39" s="691"/>
      <c r="B39" s="42"/>
      <c r="C39" s="955"/>
      <c r="D39" s="41"/>
      <c r="E39" s="684"/>
      <c r="F39" s="684"/>
      <c r="G39" s="684"/>
      <c r="H39" s="684"/>
      <c r="I39" s="684"/>
      <c r="J39" s="684"/>
      <c r="K39" s="684"/>
      <c r="L39" s="684"/>
      <c r="M39" s="684"/>
      <c r="N39" s="684"/>
      <c r="O39" s="1095"/>
    </row>
    <row r="40" spans="1:15" ht="21" customHeight="1" x14ac:dyDescent="0.3">
      <c r="A40" s="1008"/>
      <c r="B40" s="1032"/>
      <c r="C40" s="1033"/>
      <c r="D40" s="1034"/>
      <c r="E40" s="916"/>
      <c r="F40" s="916"/>
      <c r="G40" s="916"/>
      <c r="H40" s="916"/>
      <c r="I40" s="916"/>
      <c r="J40" s="916"/>
      <c r="K40" s="916"/>
      <c r="L40" s="916"/>
      <c r="M40" s="916"/>
      <c r="N40" s="916"/>
      <c r="O40" s="1105"/>
    </row>
    <row r="41" spans="1:15" ht="21" customHeight="1" x14ac:dyDescent="0.3">
      <c r="A41" s="929"/>
      <c r="B41" s="930"/>
      <c r="C41" s="930"/>
      <c r="D41" s="149" t="s">
        <v>225</v>
      </c>
      <c r="E41" s="150">
        <f t="shared" ref="E41:N41" si="9">SUM(E35:E40)</f>
        <v>0</v>
      </c>
      <c r="F41" s="150">
        <f t="shared" si="9"/>
        <v>0</v>
      </c>
      <c r="G41" s="150">
        <f t="shared" si="9"/>
        <v>0</v>
      </c>
      <c r="H41" s="150"/>
      <c r="I41" s="150">
        <f t="shared" si="9"/>
        <v>0</v>
      </c>
      <c r="J41" s="150">
        <f t="shared" si="9"/>
        <v>0</v>
      </c>
      <c r="K41" s="150">
        <f t="shared" si="9"/>
        <v>0</v>
      </c>
      <c r="L41" s="150">
        <f t="shared" si="9"/>
        <v>0</v>
      </c>
      <c r="M41" s="150">
        <f t="shared" si="9"/>
        <v>0</v>
      </c>
      <c r="N41" s="150">
        <f t="shared" si="9"/>
        <v>0</v>
      </c>
      <c r="O41" s="156">
        <f>SUM(E41:N41)</f>
        <v>0</v>
      </c>
    </row>
    <row r="42" spans="1:15" ht="21" customHeight="1" x14ac:dyDescent="0.3">
      <c r="A42" s="929"/>
      <c r="B42" s="930"/>
      <c r="C42" s="930"/>
      <c r="D42" s="149" t="s">
        <v>226</v>
      </c>
      <c r="E42" s="150">
        <f t="shared" ref="E42:N42" si="10">SUM(E33+E41)</f>
        <v>0</v>
      </c>
      <c r="F42" s="150">
        <f t="shared" si="10"/>
        <v>0</v>
      </c>
      <c r="G42" s="150">
        <f t="shared" si="10"/>
        <v>0</v>
      </c>
      <c r="H42" s="150"/>
      <c r="I42" s="150">
        <f t="shared" si="10"/>
        <v>0</v>
      </c>
      <c r="J42" s="150">
        <f t="shared" si="10"/>
        <v>0</v>
      </c>
      <c r="K42" s="150">
        <f t="shared" si="10"/>
        <v>0</v>
      </c>
      <c r="L42" s="150">
        <f t="shared" si="10"/>
        <v>0</v>
      </c>
      <c r="M42" s="150">
        <f t="shared" si="10"/>
        <v>0</v>
      </c>
      <c r="N42" s="150">
        <f t="shared" si="10"/>
        <v>0</v>
      </c>
      <c r="O42" s="150">
        <f>SUM(E42:N42)</f>
        <v>0</v>
      </c>
    </row>
    <row r="43" spans="1:15" ht="21" customHeight="1" x14ac:dyDescent="0.3">
      <c r="A43" s="931"/>
      <c r="B43" s="932"/>
      <c r="C43" s="932"/>
      <c r="D43" s="152" t="s">
        <v>227</v>
      </c>
      <c r="E43" s="153">
        <f t="shared" ref="E43:N43" si="11">SUM(E34-E41)</f>
        <v>2675000</v>
      </c>
      <c r="F43" s="153">
        <f t="shared" si="11"/>
        <v>2782000</v>
      </c>
      <c r="G43" s="153">
        <f t="shared" si="11"/>
        <v>69646000</v>
      </c>
      <c r="H43" s="153">
        <f t="shared" si="11"/>
        <v>6711000</v>
      </c>
      <c r="I43" s="153">
        <f t="shared" si="11"/>
        <v>5591600</v>
      </c>
      <c r="J43" s="153">
        <f t="shared" si="11"/>
        <v>11119200</v>
      </c>
      <c r="K43" s="153">
        <f t="shared" si="11"/>
        <v>0</v>
      </c>
      <c r="L43" s="153">
        <f t="shared" si="11"/>
        <v>0</v>
      </c>
      <c r="M43" s="153">
        <f t="shared" si="11"/>
        <v>0</v>
      </c>
      <c r="N43" s="153">
        <f t="shared" si="11"/>
        <v>0</v>
      </c>
      <c r="O43" s="153">
        <f>SUM(E43:N43)</f>
        <v>98524800</v>
      </c>
    </row>
    <row r="44" spans="1:15" ht="21" customHeight="1" x14ac:dyDescent="0.3">
      <c r="A44" s="1103" t="s">
        <v>228</v>
      </c>
      <c r="B44" s="42"/>
      <c r="C44" s="955"/>
      <c r="D44" s="41"/>
      <c r="E44" s="684"/>
      <c r="F44" s="684"/>
      <c r="G44" s="684"/>
      <c r="H44" s="684"/>
      <c r="I44" s="684"/>
      <c r="J44" s="684"/>
      <c r="K44" s="684"/>
      <c r="L44" s="684"/>
      <c r="M44" s="684"/>
      <c r="N44" s="684"/>
      <c r="O44" s="1095"/>
    </row>
    <row r="50" spans="1:15" ht="21" customHeight="1" x14ac:dyDescent="0.3">
      <c r="A50" s="929"/>
      <c r="B50" s="930"/>
      <c r="C50" s="930"/>
      <c r="D50" s="149" t="s">
        <v>229</v>
      </c>
      <c r="E50" s="150">
        <f t="shared" ref="E50:N50" si="12">SUM(E44:E49)</f>
        <v>0</v>
      </c>
      <c r="F50" s="150">
        <f t="shared" si="12"/>
        <v>0</v>
      </c>
      <c r="G50" s="150">
        <f t="shared" si="12"/>
        <v>0</v>
      </c>
      <c r="H50" s="150"/>
      <c r="I50" s="150">
        <f t="shared" si="12"/>
        <v>0</v>
      </c>
      <c r="J50" s="150">
        <f t="shared" si="12"/>
        <v>0</v>
      </c>
      <c r="K50" s="150">
        <f t="shared" si="12"/>
        <v>0</v>
      </c>
      <c r="L50" s="150">
        <f t="shared" si="12"/>
        <v>0</v>
      </c>
      <c r="M50" s="150">
        <f t="shared" si="12"/>
        <v>0</v>
      </c>
      <c r="N50" s="150">
        <f t="shared" si="12"/>
        <v>0</v>
      </c>
      <c r="O50" s="156">
        <f>SUM(E50:N50)</f>
        <v>0</v>
      </c>
    </row>
    <row r="51" spans="1:15" ht="21" customHeight="1" x14ac:dyDescent="0.3">
      <c r="A51" s="929"/>
      <c r="B51" s="930"/>
      <c r="C51" s="930"/>
      <c r="D51" s="149" t="s">
        <v>230</v>
      </c>
      <c r="E51" s="150">
        <f t="shared" ref="E51:N51" si="13">SUM(E42+E50)</f>
        <v>0</v>
      </c>
      <c r="F51" s="150">
        <f t="shared" si="13"/>
        <v>0</v>
      </c>
      <c r="G51" s="150">
        <f t="shared" si="13"/>
        <v>0</v>
      </c>
      <c r="H51" s="150"/>
      <c r="I51" s="150">
        <f t="shared" si="13"/>
        <v>0</v>
      </c>
      <c r="J51" s="150">
        <f t="shared" si="13"/>
        <v>0</v>
      </c>
      <c r="K51" s="150">
        <f t="shared" si="13"/>
        <v>0</v>
      </c>
      <c r="L51" s="150">
        <f t="shared" si="13"/>
        <v>0</v>
      </c>
      <c r="M51" s="150">
        <f t="shared" si="13"/>
        <v>0</v>
      </c>
      <c r="N51" s="150">
        <f t="shared" si="13"/>
        <v>0</v>
      </c>
      <c r="O51" s="150">
        <f>SUM(E51:N51)</f>
        <v>0</v>
      </c>
    </row>
    <row r="52" spans="1:15" ht="21" customHeight="1" x14ac:dyDescent="0.3">
      <c r="A52" s="931"/>
      <c r="B52" s="932"/>
      <c r="C52" s="932"/>
      <c r="D52" s="152" t="s">
        <v>231</v>
      </c>
      <c r="E52" s="153">
        <f t="shared" ref="E52:N52" si="14">SUM(E43-E50)</f>
        <v>2675000</v>
      </c>
      <c r="F52" s="153">
        <f t="shared" si="14"/>
        <v>2782000</v>
      </c>
      <c r="G52" s="153">
        <f t="shared" si="14"/>
        <v>69646000</v>
      </c>
      <c r="H52" s="153">
        <f t="shared" si="14"/>
        <v>6711000</v>
      </c>
      <c r="I52" s="153">
        <f t="shared" si="14"/>
        <v>5591600</v>
      </c>
      <c r="J52" s="153">
        <f t="shared" si="14"/>
        <v>11119200</v>
      </c>
      <c r="K52" s="153">
        <f t="shared" si="14"/>
        <v>0</v>
      </c>
      <c r="L52" s="153">
        <f t="shared" si="14"/>
        <v>0</v>
      </c>
      <c r="M52" s="153">
        <f t="shared" si="14"/>
        <v>0</v>
      </c>
      <c r="N52" s="153">
        <f t="shared" si="14"/>
        <v>0</v>
      </c>
      <c r="O52" s="153">
        <f>SUM(E52:N52)</f>
        <v>98524800</v>
      </c>
    </row>
    <row r="53" spans="1:15" ht="21" customHeight="1" x14ac:dyDescent="0.3">
      <c r="A53" s="1103" t="s">
        <v>232</v>
      </c>
      <c r="B53" s="42"/>
      <c r="C53" s="955"/>
      <c r="D53" s="41"/>
      <c r="E53" s="684"/>
      <c r="F53" s="684"/>
      <c r="G53" s="684"/>
      <c r="H53" s="684"/>
      <c r="I53" s="684"/>
      <c r="J53" s="684"/>
      <c r="K53" s="684"/>
      <c r="L53" s="684"/>
      <c r="M53" s="684"/>
      <c r="N53" s="684"/>
      <c r="O53" s="1095"/>
    </row>
    <row r="54" spans="1:15" ht="21" customHeight="1" x14ac:dyDescent="0.3">
      <c r="A54" s="1104"/>
      <c r="B54" s="42"/>
      <c r="C54" s="955"/>
      <c r="D54" s="41"/>
      <c r="E54" s="684"/>
      <c r="F54" s="684"/>
      <c r="G54" s="684"/>
      <c r="H54" s="684"/>
      <c r="I54" s="684"/>
      <c r="J54" s="684"/>
      <c r="K54" s="684"/>
      <c r="L54" s="684"/>
      <c r="M54" s="684"/>
      <c r="N54" s="684"/>
      <c r="O54" s="1095"/>
    </row>
    <row r="55" spans="1:15" ht="21" customHeight="1" x14ac:dyDescent="0.3">
      <c r="A55" s="1104"/>
      <c r="B55" s="42"/>
      <c r="C55" s="955"/>
      <c r="D55" s="41"/>
      <c r="E55" s="684"/>
      <c r="F55" s="684"/>
      <c r="G55" s="684"/>
      <c r="H55" s="684"/>
      <c r="I55" s="684"/>
      <c r="J55" s="684"/>
      <c r="K55" s="684"/>
      <c r="L55" s="684"/>
      <c r="M55" s="684"/>
      <c r="N55" s="684"/>
      <c r="O55" s="1095"/>
    </row>
    <row r="56" spans="1:15" ht="21" customHeight="1" x14ac:dyDescent="0.3">
      <c r="A56" s="1104"/>
      <c r="B56" s="42"/>
      <c r="C56" s="955"/>
      <c r="D56" s="41"/>
      <c r="E56" s="684"/>
      <c r="F56" s="684"/>
      <c r="G56" s="684"/>
      <c r="H56" s="684"/>
      <c r="I56" s="684"/>
      <c r="J56" s="684"/>
      <c r="K56" s="684"/>
      <c r="L56" s="684"/>
      <c r="M56" s="684"/>
      <c r="N56" s="684"/>
      <c r="O56" s="1095"/>
    </row>
    <row r="57" spans="1:15" ht="21" customHeight="1" x14ac:dyDescent="0.3">
      <c r="A57" s="691"/>
      <c r="B57" s="42"/>
      <c r="C57" s="955"/>
      <c r="D57" s="41"/>
      <c r="E57" s="684"/>
      <c r="F57" s="684"/>
      <c r="G57" s="684"/>
      <c r="H57" s="684"/>
      <c r="I57" s="684"/>
      <c r="J57" s="684"/>
      <c r="K57" s="684"/>
      <c r="L57" s="684"/>
      <c r="M57" s="684"/>
      <c r="N57" s="684"/>
      <c r="O57" s="1095"/>
    </row>
    <row r="58" spans="1:15" ht="21" customHeight="1" x14ac:dyDescent="0.3">
      <c r="A58" s="1008"/>
      <c r="B58" s="1032"/>
      <c r="C58" s="1033"/>
      <c r="D58" s="1034"/>
      <c r="E58" s="916"/>
      <c r="F58" s="916"/>
      <c r="G58" s="916"/>
      <c r="H58" s="916"/>
      <c r="I58" s="916"/>
      <c r="J58" s="916"/>
      <c r="K58" s="916"/>
      <c r="L58" s="916"/>
      <c r="M58" s="916"/>
      <c r="N58" s="916"/>
      <c r="O58" s="1105"/>
    </row>
    <row r="59" spans="1:15" ht="21" customHeight="1" x14ac:dyDescent="0.3">
      <c r="A59" s="929"/>
      <c r="B59" s="930"/>
      <c r="C59" s="930"/>
      <c r="D59" s="149" t="s">
        <v>233</v>
      </c>
      <c r="E59" s="150">
        <f t="shared" ref="E59:N59" si="15">SUM(E53:E58)</f>
        <v>0</v>
      </c>
      <c r="F59" s="150">
        <f t="shared" si="15"/>
        <v>0</v>
      </c>
      <c r="G59" s="150">
        <f t="shared" si="15"/>
        <v>0</v>
      </c>
      <c r="H59" s="150"/>
      <c r="I59" s="150">
        <f t="shared" si="15"/>
        <v>0</v>
      </c>
      <c r="J59" s="150">
        <f t="shared" si="15"/>
        <v>0</v>
      </c>
      <c r="K59" s="150">
        <f t="shared" si="15"/>
        <v>0</v>
      </c>
      <c r="L59" s="150">
        <f t="shared" si="15"/>
        <v>0</v>
      </c>
      <c r="M59" s="150">
        <f t="shared" si="15"/>
        <v>0</v>
      </c>
      <c r="N59" s="150">
        <f t="shared" si="15"/>
        <v>0</v>
      </c>
      <c r="O59" s="156">
        <f>SUM(E59:N59)</f>
        <v>0</v>
      </c>
    </row>
    <row r="60" spans="1:15" ht="21" customHeight="1" x14ac:dyDescent="0.3">
      <c r="A60" s="929"/>
      <c r="B60" s="930"/>
      <c r="C60" s="930"/>
      <c r="D60" s="149" t="s">
        <v>234</v>
      </c>
      <c r="E60" s="150">
        <f t="shared" ref="E60:N60" si="16">SUM(E51+E59)</f>
        <v>0</v>
      </c>
      <c r="F60" s="150">
        <f t="shared" si="16"/>
        <v>0</v>
      </c>
      <c r="G60" s="150">
        <f t="shared" si="16"/>
        <v>0</v>
      </c>
      <c r="H60" s="150"/>
      <c r="I60" s="150">
        <f t="shared" si="16"/>
        <v>0</v>
      </c>
      <c r="J60" s="150">
        <f t="shared" si="16"/>
        <v>0</v>
      </c>
      <c r="K60" s="150">
        <f t="shared" si="16"/>
        <v>0</v>
      </c>
      <c r="L60" s="150">
        <f t="shared" si="16"/>
        <v>0</v>
      </c>
      <c r="M60" s="150">
        <f t="shared" si="16"/>
        <v>0</v>
      </c>
      <c r="N60" s="150">
        <f t="shared" si="16"/>
        <v>0</v>
      </c>
      <c r="O60" s="150">
        <f>SUM(E60:N60)</f>
        <v>0</v>
      </c>
    </row>
    <row r="61" spans="1:15" ht="21" customHeight="1" x14ac:dyDescent="0.3">
      <c r="A61" s="931"/>
      <c r="B61" s="932"/>
      <c r="C61" s="932"/>
      <c r="D61" s="152" t="s">
        <v>235</v>
      </c>
      <c r="E61" s="153">
        <f t="shared" ref="E61:N61" si="17">SUM(E52-E59)</f>
        <v>2675000</v>
      </c>
      <c r="F61" s="153">
        <f t="shared" si="17"/>
        <v>2782000</v>
      </c>
      <c r="G61" s="153">
        <f t="shared" si="17"/>
        <v>69646000</v>
      </c>
      <c r="H61" s="153">
        <f t="shared" si="17"/>
        <v>6711000</v>
      </c>
      <c r="I61" s="153">
        <f t="shared" si="17"/>
        <v>5591600</v>
      </c>
      <c r="J61" s="153">
        <f t="shared" si="17"/>
        <v>11119200</v>
      </c>
      <c r="K61" s="153">
        <f t="shared" si="17"/>
        <v>0</v>
      </c>
      <c r="L61" s="153">
        <f t="shared" si="17"/>
        <v>0</v>
      </c>
      <c r="M61" s="153">
        <f t="shared" si="17"/>
        <v>0</v>
      </c>
      <c r="N61" s="153">
        <f t="shared" si="17"/>
        <v>0</v>
      </c>
      <c r="O61" s="153">
        <f>SUM(E61:N61)</f>
        <v>98524800</v>
      </c>
    </row>
    <row r="62" spans="1:15" ht="21" customHeight="1" x14ac:dyDescent="0.3">
      <c r="A62" s="1103" t="s">
        <v>236</v>
      </c>
      <c r="B62" s="42"/>
      <c r="C62" s="955"/>
      <c r="D62" s="41"/>
      <c r="E62" s="684"/>
      <c r="F62" s="684"/>
      <c r="G62" s="684"/>
      <c r="H62" s="684"/>
      <c r="I62" s="684"/>
      <c r="J62" s="684"/>
      <c r="K62" s="684"/>
      <c r="L62" s="684"/>
      <c r="M62" s="684"/>
      <c r="N62" s="684"/>
      <c r="O62" s="1095"/>
    </row>
    <row r="68" spans="1:15" ht="21" customHeight="1" x14ac:dyDescent="0.3">
      <c r="A68" s="929"/>
      <c r="B68" s="930"/>
      <c r="C68" s="930"/>
      <c r="D68" s="149" t="s">
        <v>237</v>
      </c>
      <c r="E68" s="150">
        <f t="shared" ref="E68:N68" si="18">SUM(E62:E67)</f>
        <v>0</v>
      </c>
      <c r="F68" s="150">
        <f t="shared" si="18"/>
        <v>0</v>
      </c>
      <c r="G68" s="150">
        <f t="shared" si="18"/>
        <v>0</v>
      </c>
      <c r="H68" s="150"/>
      <c r="I68" s="150">
        <f t="shared" si="18"/>
        <v>0</v>
      </c>
      <c r="J68" s="150">
        <f t="shared" si="18"/>
        <v>0</v>
      </c>
      <c r="K68" s="150">
        <f t="shared" si="18"/>
        <v>0</v>
      </c>
      <c r="L68" s="150">
        <f t="shared" si="18"/>
        <v>0</v>
      </c>
      <c r="M68" s="150">
        <f t="shared" si="18"/>
        <v>0</v>
      </c>
      <c r="N68" s="150">
        <f t="shared" si="18"/>
        <v>0</v>
      </c>
      <c r="O68" s="156">
        <f>SUM(E68:N68)</f>
        <v>0</v>
      </c>
    </row>
    <row r="69" spans="1:15" ht="21" customHeight="1" x14ac:dyDescent="0.3">
      <c r="A69" s="929"/>
      <c r="B69" s="930"/>
      <c r="C69" s="930"/>
      <c r="D69" s="149" t="s">
        <v>238</v>
      </c>
      <c r="E69" s="150">
        <f t="shared" ref="E69:N69" si="19">SUM(E60+E68)</f>
        <v>0</v>
      </c>
      <c r="F69" s="150">
        <f t="shared" si="19"/>
        <v>0</v>
      </c>
      <c r="G69" s="150">
        <f t="shared" si="19"/>
        <v>0</v>
      </c>
      <c r="H69" s="150"/>
      <c r="I69" s="150">
        <f t="shared" si="19"/>
        <v>0</v>
      </c>
      <c r="J69" s="150">
        <f t="shared" si="19"/>
        <v>0</v>
      </c>
      <c r="K69" s="150">
        <f t="shared" si="19"/>
        <v>0</v>
      </c>
      <c r="L69" s="150">
        <f t="shared" si="19"/>
        <v>0</v>
      </c>
      <c r="M69" s="150">
        <f t="shared" si="19"/>
        <v>0</v>
      </c>
      <c r="N69" s="150">
        <f t="shared" si="19"/>
        <v>0</v>
      </c>
      <c r="O69" s="150">
        <f>SUM(E69:N69)</f>
        <v>0</v>
      </c>
    </row>
    <row r="70" spans="1:15" ht="21" customHeight="1" x14ac:dyDescent="0.3">
      <c r="A70" s="931"/>
      <c r="B70" s="932"/>
      <c r="C70" s="932"/>
      <c r="D70" s="152" t="s">
        <v>239</v>
      </c>
      <c r="E70" s="153">
        <f>SUM(E61-E68)</f>
        <v>2675000</v>
      </c>
      <c r="F70" s="153">
        <f>SUM(F61-F68)</f>
        <v>2782000</v>
      </c>
      <c r="G70" s="153">
        <f>SUM(G61-G68)</f>
        <v>69646000</v>
      </c>
      <c r="H70" s="153">
        <f t="shared" ref="H70:N70" si="20">SUM(H61-H68)</f>
        <v>6711000</v>
      </c>
      <c r="I70" s="153">
        <f t="shared" si="20"/>
        <v>5591600</v>
      </c>
      <c r="J70" s="153">
        <f t="shared" si="20"/>
        <v>11119200</v>
      </c>
      <c r="K70" s="153">
        <f t="shared" si="20"/>
        <v>0</v>
      </c>
      <c r="L70" s="153">
        <f t="shared" si="20"/>
        <v>0</v>
      </c>
      <c r="M70" s="153">
        <f t="shared" si="20"/>
        <v>0</v>
      </c>
      <c r="N70" s="153">
        <f t="shared" si="20"/>
        <v>0</v>
      </c>
      <c r="O70" s="153">
        <f>SUM(E70:N70)</f>
        <v>98524800</v>
      </c>
    </row>
    <row r="71" spans="1:15" ht="21" customHeight="1" x14ac:dyDescent="0.3">
      <c r="A71" s="1103" t="s">
        <v>240</v>
      </c>
      <c r="B71" s="42"/>
      <c r="C71" s="955"/>
      <c r="D71" s="41"/>
      <c r="E71" s="684"/>
      <c r="F71" s="684"/>
      <c r="G71" s="684"/>
      <c r="H71" s="684"/>
      <c r="I71" s="684"/>
      <c r="J71" s="684"/>
      <c r="K71" s="684"/>
      <c r="L71" s="684"/>
      <c r="M71" s="684"/>
      <c r="N71" s="684"/>
      <c r="O71" s="1095"/>
    </row>
    <row r="72" spans="1:15" ht="21" customHeight="1" x14ac:dyDescent="0.3">
      <c r="A72" s="1104"/>
      <c r="B72" s="42"/>
      <c r="C72" s="955"/>
      <c r="D72" s="41"/>
      <c r="E72" s="684"/>
      <c r="F72" s="684"/>
      <c r="G72" s="684"/>
      <c r="H72" s="684"/>
      <c r="I72" s="684"/>
      <c r="J72" s="684"/>
      <c r="K72" s="684"/>
      <c r="L72" s="684"/>
      <c r="M72" s="684"/>
      <c r="N72" s="684"/>
      <c r="O72" s="1095"/>
    </row>
    <row r="73" spans="1:15" ht="21" customHeight="1" x14ac:dyDescent="0.3">
      <c r="A73" s="1104"/>
      <c r="B73" s="42"/>
      <c r="C73" s="955"/>
      <c r="D73" s="41"/>
      <c r="E73" s="684"/>
      <c r="F73" s="684"/>
      <c r="G73" s="684"/>
      <c r="H73" s="684"/>
      <c r="I73" s="684"/>
      <c r="J73" s="684"/>
      <c r="K73" s="684"/>
      <c r="L73" s="684"/>
      <c r="M73" s="684"/>
      <c r="N73" s="684"/>
      <c r="O73" s="1095"/>
    </row>
    <row r="74" spans="1:15" ht="21" customHeight="1" x14ac:dyDescent="0.3">
      <c r="A74" s="1104"/>
      <c r="B74" s="42"/>
      <c r="C74" s="955"/>
      <c r="D74" s="41"/>
      <c r="E74" s="684"/>
      <c r="F74" s="684"/>
      <c r="G74" s="684"/>
      <c r="H74" s="684"/>
      <c r="I74" s="684"/>
      <c r="J74" s="684"/>
      <c r="K74" s="684"/>
      <c r="L74" s="684"/>
      <c r="M74" s="684"/>
      <c r="N74" s="684"/>
      <c r="O74" s="1095"/>
    </row>
    <row r="75" spans="1:15" ht="21" customHeight="1" x14ac:dyDescent="0.3">
      <c r="A75" s="1104"/>
      <c r="B75" s="42"/>
      <c r="C75" s="955"/>
      <c r="D75" s="41"/>
      <c r="E75" s="684"/>
      <c r="F75" s="684"/>
      <c r="G75" s="684"/>
      <c r="H75" s="684"/>
      <c r="I75" s="684"/>
      <c r="J75" s="684"/>
      <c r="K75" s="684"/>
      <c r="L75" s="684"/>
      <c r="M75" s="684"/>
      <c r="N75" s="684"/>
      <c r="O75" s="1095"/>
    </row>
    <row r="76" spans="1:15" ht="21" customHeight="1" x14ac:dyDescent="0.3">
      <c r="A76" s="1104"/>
      <c r="B76" s="42"/>
      <c r="C76" s="955"/>
      <c r="D76" s="41"/>
      <c r="E76" s="684"/>
      <c r="F76" s="684"/>
      <c r="G76" s="684"/>
      <c r="H76" s="684"/>
      <c r="I76" s="684"/>
      <c r="J76" s="684"/>
      <c r="K76" s="684"/>
      <c r="L76" s="684"/>
      <c r="M76" s="684"/>
      <c r="N76" s="684"/>
      <c r="O76" s="1095"/>
    </row>
    <row r="77" spans="1:15" ht="21" customHeight="1" x14ac:dyDescent="0.3">
      <c r="A77" s="691"/>
      <c r="B77" s="42"/>
      <c r="C77" s="955"/>
      <c r="D77" s="41"/>
      <c r="E77" s="684"/>
      <c r="F77" s="684"/>
      <c r="G77" s="684"/>
      <c r="H77" s="684"/>
      <c r="I77" s="684"/>
      <c r="J77" s="684"/>
      <c r="K77" s="684"/>
      <c r="L77" s="684"/>
      <c r="M77" s="684"/>
      <c r="N77" s="684"/>
      <c r="O77" s="1095"/>
    </row>
    <row r="78" spans="1:15" ht="21" customHeight="1" x14ac:dyDescent="0.3">
      <c r="A78" s="1008"/>
      <c r="B78" s="1032"/>
      <c r="C78" s="1033"/>
      <c r="D78" s="1034"/>
      <c r="E78" s="916"/>
      <c r="F78" s="916"/>
      <c r="G78" s="916"/>
      <c r="H78" s="916"/>
      <c r="I78" s="916"/>
      <c r="J78" s="916"/>
      <c r="K78" s="916"/>
      <c r="L78" s="916"/>
      <c r="M78" s="916"/>
      <c r="N78" s="916"/>
      <c r="O78" s="1105"/>
    </row>
    <row r="79" spans="1:15" ht="21" customHeight="1" x14ac:dyDescent="0.3">
      <c r="A79" s="52"/>
      <c r="B79" s="51"/>
      <c r="C79" s="51"/>
      <c r="D79" s="149" t="s">
        <v>241</v>
      </c>
      <c r="E79" s="150">
        <f>SUM(E71:E78)</f>
        <v>0</v>
      </c>
      <c r="F79" s="150">
        <f>SUM(F71:F78)</f>
        <v>0</v>
      </c>
      <c r="G79" s="150">
        <f>SUM(G71:G78)</f>
        <v>0</v>
      </c>
      <c r="H79" s="150"/>
      <c r="I79" s="150">
        <f t="shared" ref="I79:N79" si="21">SUM(I71:I78)</f>
        <v>0</v>
      </c>
      <c r="J79" s="150">
        <f t="shared" si="21"/>
        <v>0</v>
      </c>
      <c r="K79" s="150">
        <f t="shared" si="21"/>
        <v>0</v>
      </c>
      <c r="L79" s="150">
        <f t="shared" si="21"/>
        <v>0</v>
      </c>
      <c r="M79" s="150">
        <f t="shared" si="21"/>
        <v>0</v>
      </c>
      <c r="N79" s="150">
        <f t="shared" si="21"/>
        <v>0</v>
      </c>
      <c r="O79" s="156">
        <f>SUM(E79:N79)</f>
        <v>0</v>
      </c>
    </row>
    <row r="80" spans="1:15" ht="21" customHeight="1" x14ac:dyDescent="0.3">
      <c r="A80" s="52"/>
      <c r="B80" s="51"/>
      <c r="C80" s="51"/>
      <c r="D80" s="149" t="s">
        <v>242</v>
      </c>
      <c r="E80" s="150">
        <f>SUM(E69+E79)</f>
        <v>0</v>
      </c>
      <c r="F80" s="150">
        <f>SUM(F69+F79)</f>
        <v>0</v>
      </c>
      <c r="G80" s="150">
        <f>SUM(G69+G79)</f>
        <v>0</v>
      </c>
      <c r="H80" s="150"/>
      <c r="I80" s="150">
        <f t="shared" ref="I80:N80" si="22">SUM(I69+I79)</f>
        <v>0</v>
      </c>
      <c r="J80" s="150">
        <f t="shared" si="22"/>
        <v>0</v>
      </c>
      <c r="K80" s="150">
        <f t="shared" si="22"/>
        <v>0</v>
      </c>
      <c r="L80" s="150">
        <f t="shared" si="22"/>
        <v>0</v>
      </c>
      <c r="M80" s="150">
        <f t="shared" si="22"/>
        <v>0</v>
      </c>
      <c r="N80" s="150">
        <f t="shared" si="22"/>
        <v>0</v>
      </c>
      <c r="O80" s="150">
        <f>SUM(E80:N80)</f>
        <v>0</v>
      </c>
    </row>
    <row r="81" spans="1:15" ht="21" customHeight="1" x14ac:dyDescent="0.3">
      <c r="A81" s="59"/>
      <c r="B81" s="58"/>
      <c r="C81" s="58"/>
      <c r="D81" s="152" t="s">
        <v>243</v>
      </c>
      <c r="E81" s="153">
        <f t="shared" ref="E81:N81" si="23">SUM(E70-E79)</f>
        <v>2675000</v>
      </c>
      <c r="F81" s="153">
        <f t="shared" si="23"/>
        <v>2782000</v>
      </c>
      <c r="G81" s="153">
        <f t="shared" si="23"/>
        <v>69646000</v>
      </c>
      <c r="H81" s="153">
        <f t="shared" si="23"/>
        <v>6711000</v>
      </c>
      <c r="I81" s="153">
        <f t="shared" si="23"/>
        <v>5591600</v>
      </c>
      <c r="J81" s="153">
        <f t="shared" si="23"/>
        <v>11119200</v>
      </c>
      <c r="K81" s="153">
        <f t="shared" si="23"/>
        <v>0</v>
      </c>
      <c r="L81" s="153">
        <f t="shared" si="23"/>
        <v>0</v>
      </c>
      <c r="M81" s="153">
        <f t="shared" si="23"/>
        <v>0</v>
      </c>
      <c r="N81" s="153">
        <f t="shared" si="23"/>
        <v>0</v>
      </c>
      <c r="O81" s="153">
        <f>SUM(E81:N81)</f>
        <v>98524800</v>
      </c>
    </row>
    <row r="82" spans="1:15" ht="21" customHeight="1" x14ac:dyDescent="0.3">
      <c r="A82" s="1103" t="s">
        <v>244</v>
      </c>
      <c r="B82" s="42"/>
      <c r="C82" s="955"/>
      <c r="D82" s="41"/>
      <c r="E82" s="684"/>
      <c r="F82" s="684"/>
      <c r="G82" s="684"/>
      <c r="H82" s="684"/>
      <c r="I82" s="684"/>
      <c r="J82" s="684"/>
      <c r="K82" s="684"/>
      <c r="L82" s="684"/>
      <c r="M82" s="684"/>
      <c r="N82" s="684"/>
      <c r="O82" s="1095"/>
    </row>
    <row r="83" spans="1:15" ht="21" customHeight="1" x14ac:dyDescent="0.3">
      <c r="A83" s="1104"/>
      <c r="B83" s="42"/>
      <c r="C83" s="955"/>
      <c r="D83" s="41"/>
      <c r="E83" s="684"/>
      <c r="F83" s="684"/>
      <c r="G83" s="684"/>
      <c r="H83" s="684"/>
      <c r="I83" s="684"/>
      <c r="J83" s="684"/>
      <c r="K83" s="684"/>
      <c r="L83" s="684"/>
      <c r="M83" s="684"/>
      <c r="N83" s="684"/>
      <c r="O83" s="1095"/>
    </row>
    <row r="84" spans="1:15" ht="21" customHeight="1" x14ac:dyDescent="0.3">
      <c r="A84" s="1104"/>
      <c r="B84" s="42"/>
      <c r="C84" s="955"/>
      <c r="D84" s="41"/>
      <c r="E84" s="684"/>
      <c r="F84" s="684"/>
      <c r="G84" s="684"/>
      <c r="H84" s="684"/>
      <c r="I84" s="684"/>
      <c r="J84" s="684"/>
      <c r="K84" s="684"/>
      <c r="L84" s="684"/>
      <c r="M84" s="684"/>
      <c r="N84" s="684"/>
      <c r="O84" s="1095"/>
    </row>
    <row r="85" spans="1:15" ht="21" customHeight="1" x14ac:dyDescent="0.3">
      <c r="A85" s="1104"/>
      <c r="B85" s="42"/>
      <c r="C85" s="955"/>
      <c r="D85" s="41"/>
      <c r="E85" s="684"/>
      <c r="F85" s="684"/>
      <c r="G85" s="684"/>
      <c r="H85" s="684"/>
      <c r="I85" s="684"/>
      <c r="J85" s="684"/>
      <c r="K85" s="684"/>
      <c r="L85" s="684"/>
      <c r="M85" s="684"/>
      <c r="N85" s="684"/>
      <c r="O85" s="1095"/>
    </row>
    <row r="86" spans="1:15" ht="21" customHeight="1" x14ac:dyDescent="0.3">
      <c r="A86" s="691"/>
      <c r="B86" s="42"/>
      <c r="C86" s="955"/>
      <c r="D86" s="41"/>
      <c r="E86" s="684"/>
      <c r="F86" s="684"/>
      <c r="G86" s="684"/>
      <c r="H86" s="684"/>
      <c r="I86" s="684"/>
      <c r="J86" s="684"/>
      <c r="K86" s="684"/>
      <c r="L86" s="684"/>
      <c r="M86" s="684"/>
      <c r="N86" s="684"/>
      <c r="O86" s="1095"/>
    </row>
    <row r="87" spans="1:15" ht="21" customHeight="1" x14ac:dyDescent="0.3">
      <c r="A87" s="1008"/>
      <c r="B87" s="1032"/>
      <c r="C87" s="1033"/>
      <c r="D87" s="1034"/>
      <c r="E87" s="916"/>
      <c r="F87" s="916"/>
      <c r="G87" s="916"/>
      <c r="H87" s="916"/>
      <c r="I87" s="916"/>
      <c r="J87" s="916"/>
      <c r="K87" s="916"/>
      <c r="L87" s="916"/>
      <c r="M87" s="916"/>
      <c r="N87" s="916"/>
      <c r="O87" s="1105"/>
    </row>
    <row r="88" spans="1:15" ht="21" customHeight="1" x14ac:dyDescent="0.3">
      <c r="A88" s="929"/>
      <c r="B88" s="930"/>
      <c r="C88" s="930"/>
      <c r="D88" s="149" t="s">
        <v>245</v>
      </c>
      <c r="E88" s="150">
        <f t="shared" ref="E88:N88" si="24">SUM(E82:E87)</f>
        <v>0</v>
      </c>
      <c r="F88" s="150">
        <f t="shared" si="24"/>
        <v>0</v>
      </c>
      <c r="G88" s="150">
        <f t="shared" si="24"/>
        <v>0</v>
      </c>
      <c r="H88" s="150"/>
      <c r="I88" s="150">
        <f t="shared" si="24"/>
        <v>0</v>
      </c>
      <c r="J88" s="150">
        <f t="shared" si="24"/>
        <v>0</v>
      </c>
      <c r="K88" s="150">
        <f t="shared" si="24"/>
        <v>0</v>
      </c>
      <c r="L88" s="150">
        <f t="shared" si="24"/>
        <v>0</v>
      </c>
      <c r="M88" s="150">
        <f t="shared" si="24"/>
        <v>0</v>
      </c>
      <c r="N88" s="150">
        <f t="shared" si="24"/>
        <v>0</v>
      </c>
      <c r="O88" s="156">
        <f>SUM(E88:N88)</f>
        <v>0</v>
      </c>
    </row>
    <row r="89" spans="1:15" ht="21" customHeight="1" x14ac:dyDescent="0.3">
      <c r="A89" s="929"/>
      <c r="B89" s="930"/>
      <c r="C89" s="930"/>
      <c r="D89" s="149" t="s">
        <v>246</v>
      </c>
      <c r="E89" s="150">
        <f t="shared" ref="E89:N89" si="25">SUM(E80+E88)</f>
        <v>0</v>
      </c>
      <c r="F89" s="150">
        <f t="shared" si="25"/>
        <v>0</v>
      </c>
      <c r="G89" s="150">
        <f t="shared" si="25"/>
        <v>0</v>
      </c>
      <c r="H89" s="150"/>
      <c r="I89" s="150">
        <f t="shared" si="25"/>
        <v>0</v>
      </c>
      <c r="J89" s="150">
        <f t="shared" si="25"/>
        <v>0</v>
      </c>
      <c r="K89" s="150">
        <f t="shared" si="25"/>
        <v>0</v>
      </c>
      <c r="L89" s="150">
        <f t="shared" si="25"/>
        <v>0</v>
      </c>
      <c r="M89" s="150">
        <f t="shared" si="25"/>
        <v>0</v>
      </c>
      <c r="N89" s="150">
        <f t="shared" si="25"/>
        <v>0</v>
      </c>
      <c r="O89" s="150">
        <f>SUM(E89:N89)</f>
        <v>0</v>
      </c>
    </row>
    <row r="90" spans="1:15" ht="21" customHeight="1" x14ac:dyDescent="0.3">
      <c r="A90" s="931"/>
      <c r="B90" s="932"/>
      <c r="C90" s="932"/>
      <c r="D90" s="152" t="s">
        <v>247</v>
      </c>
      <c r="E90" s="153">
        <f t="shared" ref="E90:N90" si="26">SUM(E81-E88)</f>
        <v>2675000</v>
      </c>
      <c r="F90" s="153">
        <f t="shared" si="26"/>
        <v>2782000</v>
      </c>
      <c r="G90" s="153">
        <f t="shared" si="26"/>
        <v>69646000</v>
      </c>
      <c r="H90" s="153">
        <f t="shared" si="26"/>
        <v>6711000</v>
      </c>
      <c r="I90" s="153">
        <f t="shared" si="26"/>
        <v>5591600</v>
      </c>
      <c r="J90" s="153">
        <f t="shared" si="26"/>
        <v>11119200</v>
      </c>
      <c r="K90" s="153">
        <f t="shared" si="26"/>
        <v>0</v>
      </c>
      <c r="L90" s="153">
        <f t="shared" si="26"/>
        <v>0</v>
      </c>
      <c r="M90" s="153">
        <f t="shared" si="26"/>
        <v>0</v>
      </c>
      <c r="N90" s="153">
        <f t="shared" si="26"/>
        <v>0</v>
      </c>
      <c r="O90" s="153">
        <f>SUM(E90:N90)</f>
        <v>98524800</v>
      </c>
    </row>
    <row r="91" spans="1:15" ht="21" customHeight="1" x14ac:dyDescent="0.3">
      <c r="A91" s="1103" t="s">
        <v>248</v>
      </c>
      <c r="B91" s="42"/>
      <c r="C91" s="955"/>
      <c r="D91" s="41"/>
      <c r="E91" s="684"/>
      <c r="F91" s="684"/>
      <c r="G91" s="684"/>
      <c r="H91" s="684"/>
      <c r="I91" s="684"/>
      <c r="J91" s="684"/>
      <c r="K91" s="684"/>
      <c r="L91" s="684"/>
      <c r="M91" s="684"/>
      <c r="N91" s="684"/>
      <c r="O91" s="1095"/>
    </row>
    <row r="100" spans="1:15" ht="21" customHeight="1" x14ac:dyDescent="0.3">
      <c r="A100" s="929"/>
      <c r="B100" s="930"/>
      <c r="C100" s="930"/>
      <c r="D100" s="149" t="s">
        <v>249</v>
      </c>
      <c r="E100" s="150">
        <f t="shared" ref="E100:N100" si="27">SUM(E91:E99)</f>
        <v>0</v>
      </c>
      <c r="F100" s="150">
        <f t="shared" si="27"/>
        <v>0</v>
      </c>
      <c r="G100" s="150">
        <f t="shared" si="27"/>
        <v>0</v>
      </c>
      <c r="H100" s="150"/>
      <c r="I100" s="150">
        <f t="shared" si="27"/>
        <v>0</v>
      </c>
      <c r="J100" s="150">
        <f t="shared" si="27"/>
        <v>0</v>
      </c>
      <c r="K100" s="150">
        <f t="shared" si="27"/>
        <v>0</v>
      </c>
      <c r="L100" s="150">
        <f t="shared" si="27"/>
        <v>0</v>
      </c>
      <c r="M100" s="150">
        <f t="shared" si="27"/>
        <v>0</v>
      </c>
      <c r="N100" s="150">
        <f t="shared" si="27"/>
        <v>0</v>
      </c>
      <c r="O100" s="156">
        <f>SUM(E100:N100)</f>
        <v>0</v>
      </c>
    </row>
    <row r="101" spans="1:15" ht="21" customHeight="1" x14ac:dyDescent="0.3">
      <c r="A101" s="929"/>
      <c r="B101" s="930"/>
      <c r="C101" s="930"/>
      <c r="D101" s="149" t="s">
        <v>250</v>
      </c>
      <c r="E101" s="150">
        <f t="shared" ref="E101:N101" si="28">SUM(E89+E100)</f>
        <v>0</v>
      </c>
      <c r="F101" s="150">
        <f t="shared" si="28"/>
        <v>0</v>
      </c>
      <c r="G101" s="150">
        <f t="shared" si="28"/>
        <v>0</v>
      </c>
      <c r="H101" s="150"/>
      <c r="I101" s="150">
        <f t="shared" si="28"/>
        <v>0</v>
      </c>
      <c r="J101" s="150">
        <f t="shared" si="28"/>
        <v>0</v>
      </c>
      <c r="K101" s="150">
        <f t="shared" si="28"/>
        <v>0</v>
      </c>
      <c r="L101" s="150">
        <f t="shared" si="28"/>
        <v>0</v>
      </c>
      <c r="M101" s="150">
        <f t="shared" si="28"/>
        <v>0</v>
      </c>
      <c r="N101" s="150">
        <f t="shared" si="28"/>
        <v>0</v>
      </c>
      <c r="O101" s="150">
        <f>SUM(E101:N101)</f>
        <v>0</v>
      </c>
    </row>
    <row r="102" spans="1:15" ht="21" customHeight="1" x14ac:dyDescent="0.3">
      <c r="A102" s="931"/>
      <c r="B102" s="932"/>
      <c r="C102" s="932"/>
      <c r="D102" s="152" t="s">
        <v>251</v>
      </c>
      <c r="E102" s="153">
        <f t="shared" ref="E102:N102" si="29">SUM(E90-E100)</f>
        <v>2675000</v>
      </c>
      <c r="F102" s="153">
        <f t="shared" si="29"/>
        <v>2782000</v>
      </c>
      <c r="G102" s="153">
        <f t="shared" si="29"/>
        <v>69646000</v>
      </c>
      <c r="H102" s="153">
        <f t="shared" si="29"/>
        <v>6711000</v>
      </c>
      <c r="I102" s="153">
        <f t="shared" si="29"/>
        <v>5591600</v>
      </c>
      <c r="J102" s="153">
        <f t="shared" si="29"/>
        <v>11119200</v>
      </c>
      <c r="K102" s="153">
        <f t="shared" si="29"/>
        <v>0</v>
      </c>
      <c r="L102" s="153">
        <f t="shared" si="29"/>
        <v>0</v>
      </c>
      <c r="M102" s="153">
        <f t="shared" si="29"/>
        <v>0</v>
      </c>
      <c r="N102" s="153">
        <f t="shared" si="29"/>
        <v>0</v>
      </c>
      <c r="O102" s="153">
        <f>SUM(E102:N102)</f>
        <v>98524800</v>
      </c>
    </row>
    <row r="103" spans="1:15" ht="21" customHeight="1" x14ac:dyDescent="0.3">
      <c r="A103" s="1103" t="s">
        <v>252</v>
      </c>
      <c r="B103" s="42"/>
      <c r="C103" s="955"/>
      <c r="D103" s="41"/>
      <c r="E103" s="684"/>
      <c r="F103" s="684"/>
      <c r="G103" s="684"/>
      <c r="H103" s="684"/>
      <c r="I103" s="684"/>
      <c r="J103" s="684"/>
      <c r="K103" s="684"/>
      <c r="L103" s="684"/>
      <c r="M103" s="684"/>
      <c r="N103" s="684"/>
      <c r="O103" s="1095"/>
    </row>
    <row r="104" spans="1:15" ht="21" customHeight="1" x14ac:dyDescent="0.3">
      <c r="A104" s="1104"/>
      <c r="B104" s="42"/>
      <c r="C104" s="955"/>
      <c r="D104" s="41"/>
      <c r="E104" s="684"/>
      <c r="F104" s="684"/>
      <c r="G104" s="684"/>
      <c r="H104" s="684"/>
      <c r="I104" s="684"/>
      <c r="J104" s="684"/>
      <c r="K104" s="684"/>
      <c r="L104" s="684"/>
      <c r="M104" s="684"/>
      <c r="N104" s="684"/>
      <c r="O104" s="1095"/>
    </row>
    <row r="105" spans="1:15" ht="21" customHeight="1" x14ac:dyDescent="0.3">
      <c r="A105" s="1104"/>
      <c r="B105" s="42"/>
      <c r="C105" s="955"/>
      <c r="D105" s="41"/>
      <c r="E105" s="684"/>
      <c r="F105" s="684"/>
      <c r="G105" s="684"/>
      <c r="H105" s="684"/>
      <c r="I105" s="684"/>
      <c r="J105" s="684"/>
      <c r="K105" s="684"/>
      <c r="L105" s="684"/>
      <c r="M105" s="684"/>
      <c r="N105" s="684"/>
      <c r="O105" s="1095"/>
    </row>
    <row r="106" spans="1:15" ht="21" customHeight="1" x14ac:dyDescent="0.3">
      <c r="A106" s="1104"/>
      <c r="B106" s="42"/>
      <c r="C106" s="955"/>
      <c r="D106" s="41"/>
      <c r="E106" s="684"/>
      <c r="F106" s="684"/>
      <c r="G106" s="684"/>
      <c r="H106" s="684"/>
      <c r="I106" s="684"/>
      <c r="J106" s="684"/>
      <c r="K106" s="684"/>
      <c r="L106" s="684"/>
      <c r="M106" s="684"/>
      <c r="N106" s="684"/>
      <c r="O106" s="1095"/>
    </row>
    <row r="107" spans="1:15" ht="21" customHeight="1" x14ac:dyDescent="0.3">
      <c r="A107" s="1104"/>
      <c r="B107" s="42"/>
      <c r="C107" s="955"/>
      <c r="D107" s="41"/>
      <c r="E107" s="684"/>
      <c r="F107" s="684"/>
      <c r="G107" s="684"/>
      <c r="H107" s="684"/>
      <c r="I107" s="684"/>
      <c r="J107" s="684"/>
      <c r="K107" s="684"/>
      <c r="L107" s="684"/>
      <c r="M107" s="684"/>
      <c r="N107" s="684"/>
      <c r="O107" s="1095"/>
    </row>
    <row r="108" spans="1:15" ht="21" customHeight="1" x14ac:dyDescent="0.3">
      <c r="A108" s="1104"/>
      <c r="B108" s="42"/>
      <c r="C108" s="955"/>
      <c r="D108" s="41"/>
      <c r="E108" s="684"/>
      <c r="F108" s="684"/>
      <c r="G108" s="684"/>
      <c r="H108" s="684"/>
      <c r="I108" s="684"/>
      <c r="J108" s="684"/>
      <c r="K108" s="684"/>
      <c r="L108" s="684"/>
      <c r="M108" s="684"/>
      <c r="N108" s="684"/>
      <c r="O108" s="1095"/>
    </row>
    <row r="109" spans="1:15" ht="21" customHeight="1" x14ac:dyDescent="0.3">
      <c r="A109" s="1104"/>
      <c r="B109" s="42"/>
      <c r="C109" s="955"/>
      <c r="D109" s="41"/>
      <c r="E109" s="684"/>
      <c r="F109" s="684"/>
      <c r="G109" s="684"/>
      <c r="H109" s="684"/>
      <c r="I109" s="684"/>
      <c r="J109" s="684"/>
      <c r="K109" s="684"/>
      <c r="L109" s="684"/>
      <c r="M109" s="684"/>
      <c r="N109" s="684"/>
      <c r="O109" s="1095"/>
    </row>
    <row r="110" spans="1:15" ht="21" customHeight="1" x14ac:dyDescent="0.3">
      <c r="A110" s="691"/>
      <c r="B110" s="42"/>
      <c r="C110" s="955"/>
      <c r="D110" s="41"/>
      <c r="E110" s="684"/>
      <c r="F110" s="684"/>
      <c r="G110" s="684"/>
      <c r="H110" s="684"/>
      <c r="I110" s="684"/>
      <c r="J110" s="684"/>
      <c r="K110" s="684"/>
      <c r="L110" s="684"/>
      <c r="M110" s="684"/>
      <c r="N110" s="684"/>
      <c r="O110" s="1095"/>
    </row>
    <row r="111" spans="1:15" ht="21" customHeight="1" x14ac:dyDescent="0.3">
      <c r="A111" s="1008"/>
      <c r="B111" s="1032"/>
      <c r="C111" s="1033"/>
      <c r="D111" s="1034"/>
      <c r="E111" s="916"/>
      <c r="F111" s="916"/>
      <c r="G111" s="916"/>
      <c r="H111" s="916"/>
      <c r="I111" s="916"/>
      <c r="J111" s="916"/>
      <c r="K111" s="916"/>
      <c r="L111" s="916"/>
      <c r="M111" s="916"/>
      <c r="N111" s="916"/>
      <c r="O111" s="1105"/>
    </row>
    <row r="112" spans="1:15" ht="21" customHeight="1" x14ac:dyDescent="0.3">
      <c r="A112" s="929"/>
      <c r="B112" s="930"/>
      <c r="C112" s="930"/>
      <c r="D112" s="149" t="s">
        <v>253</v>
      </c>
      <c r="E112" s="150">
        <f t="shared" ref="E112:N112" si="30">SUM(E103:E111)</f>
        <v>0</v>
      </c>
      <c r="F112" s="150">
        <f t="shared" si="30"/>
        <v>0</v>
      </c>
      <c r="G112" s="150">
        <f t="shared" si="30"/>
        <v>0</v>
      </c>
      <c r="H112" s="150"/>
      <c r="I112" s="150">
        <f t="shared" si="30"/>
        <v>0</v>
      </c>
      <c r="J112" s="150">
        <f t="shared" si="30"/>
        <v>0</v>
      </c>
      <c r="K112" s="150">
        <f t="shared" si="30"/>
        <v>0</v>
      </c>
      <c r="L112" s="150">
        <f t="shared" si="30"/>
        <v>0</v>
      </c>
      <c r="M112" s="150">
        <f t="shared" si="30"/>
        <v>0</v>
      </c>
      <c r="N112" s="150">
        <f t="shared" si="30"/>
        <v>0</v>
      </c>
      <c r="O112" s="156">
        <f>SUM(E112:N112)</f>
        <v>0</v>
      </c>
    </row>
    <row r="113" spans="1:15" ht="21" customHeight="1" x14ac:dyDescent="0.3">
      <c r="A113" s="929"/>
      <c r="B113" s="930"/>
      <c r="C113" s="930"/>
      <c r="D113" s="149" t="s">
        <v>254</v>
      </c>
      <c r="E113" s="150">
        <f t="shared" ref="E113:N113" si="31">SUM(E101+E112)</f>
        <v>0</v>
      </c>
      <c r="F113" s="150">
        <f t="shared" si="31"/>
        <v>0</v>
      </c>
      <c r="G113" s="150">
        <f t="shared" si="31"/>
        <v>0</v>
      </c>
      <c r="H113" s="150"/>
      <c r="I113" s="150">
        <f t="shared" si="31"/>
        <v>0</v>
      </c>
      <c r="J113" s="150">
        <f t="shared" si="31"/>
        <v>0</v>
      </c>
      <c r="K113" s="150">
        <f t="shared" si="31"/>
        <v>0</v>
      </c>
      <c r="L113" s="150">
        <f t="shared" si="31"/>
        <v>0</v>
      </c>
      <c r="M113" s="150">
        <f t="shared" si="31"/>
        <v>0</v>
      </c>
      <c r="N113" s="150">
        <f t="shared" si="31"/>
        <v>0</v>
      </c>
      <c r="O113" s="150">
        <f>SUM(E113:N113)</f>
        <v>0</v>
      </c>
    </row>
    <row r="114" spans="1:15" ht="21" customHeight="1" x14ac:dyDescent="0.3">
      <c r="A114" s="931"/>
      <c r="B114" s="932"/>
      <c r="C114" s="932"/>
      <c r="D114" s="152" t="s">
        <v>255</v>
      </c>
      <c r="E114" s="153">
        <f t="shared" ref="E114:N114" si="32">SUM(E102-E112)</f>
        <v>2675000</v>
      </c>
      <c r="F114" s="153">
        <f t="shared" si="32"/>
        <v>2782000</v>
      </c>
      <c r="G114" s="153">
        <f t="shared" si="32"/>
        <v>69646000</v>
      </c>
      <c r="H114" s="153">
        <f t="shared" si="32"/>
        <v>6711000</v>
      </c>
      <c r="I114" s="153">
        <f t="shared" si="32"/>
        <v>5591600</v>
      </c>
      <c r="J114" s="153">
        <f t="shared" si="32"/>
        <v>11119200</v>
      </c>
      <c r="K114" s="153">
        <f t="shared" si="32"/>
        <v>0</v>
      </c>
      <c r="L114" s="153">
        <f t="shared" si="32"/>
        <v>0</v>
      </c>
      <c r="M114" s="153">
        <f t="shared" si="32"/>
        <v>0</v>
      </c>
      <c r="N114" s="153">
        <f t="shared" si="32"/>
        <v>0</v>
      </c>
      <c r="O114" s="153">
        <f>SUM(E114:N114)</f>
        <v>98524800</v>
      </c>
    </row>
    <row r="115" spans="1:15" ht="21" customHeight="1" x14ac:dyDescent="0.3">
      <c r="A115" s="1103" t="s">
        <v>256</v>
      </c>
      <c r="B115" s="42"/>
      <c r="C115" s="955"/>
      <c r="D115" s="41"/>
      <c r="E115" s="684"/>
      <c r="F115" s="684"/>
      <c r="G115" s="684"/>
      <c r="H115" s="684"/>
      <c r="I115" s="684"/>
      <c r="J115" s="684"/>
      <c r="K115" s="684"/>
      <c r="L115" s="684"/>
      <c r="M115" s="684"/>
      <c r="N115" s="684"/>
      <c r="O115" s="1095"/>
    </row>
    <row r="116" spans="1:15" ht="120" customHeight="1" x14ac:dyDescent="0.3">
      <c r="A116" s="1104"/>
      <c r="B116" s="42"/>
      <c r="C116" s="955"/>
      <c r="D116" s="34"/>
      <c r="E116" s="684"/>
      <c r="F116" s="684"/>
      <c r="G116" s="684"/>
      <c r="H116" s="684"/>
      <c r="I116" s="684"/>
      <c r="J116" s="684"/>
      <c r="K116" s="684"/>
      <c r="L116" s="684"/>
      <c r="M116" s="684"/>
      <c r="N116" s="684"/>
      <c r="O116" s="1095"/>
    </row>
    <row r="117" spans="1:15" ht="21" customHeight="1" x14ac:dyDescent="0.3">
      <c r="A117" s="1104"/>
      <c r="B117" s="42"/>
      <c r="C117" s="955"/>
      <c r="D117" s="40"/>
      <c r="E117" s="684"/>
      <c r="F117" s="684"/>
      <c r="G117" s="684"/>
      <c r="H117" s="684"/>
      <c r="I117" s="684"/>
      <c r="J117" s="684"/>
      <c r="K117" s="684"/>
      <c r="L117" s="684"/>
      <c r="M117" s="684"/>
      <c r="N117" s="684"/>
      <c r="O117" s="1095"/>
    </row>
    <row r="118" spans="1:15" ht="21" customHeight="1" x14ac:dyDescent="0.3">
      <c r="A118" s="1104"/>
      <c r="B118" s="42"/>
      <c r="C118" s="955"/>
      <c r="D118" s="34"/>
      <c r="E118" s="684"/>
      <c r="F118" s="684"/>
      <c r="G118" s="684"/>
      <c r="H118" s="684"/>
      <c r="I118" s="684"/>
      <c r="J118" s="684"/>
      <c r="K118" s="684"/>
      <c r="L118" s="684"/>
      <c r="M118" s="684"/>
      <c r="N118" s="684"/>
      <c r="O118" s="1095"/>
    </row>
    <row r="119" spans="1:15" ht="21" customHeight="1" x14ac:dyDescent="0.3">
      <c r="A119" s="1104"/>
      <c r="B119" s="42"/>
      <c r="C119" s="955"/>
      <c r="D119" s="41"/>
      <c r="E119" s="684"/>
      <c r="F119" s="684"/>
      <c r="G119" s="684"/>
      <c r="H119" s="684"/>
      <c r="I119" s="684"/>
      <c r="J119" s="684"/>
      <c r="K119" s="684"/>
      <c r="L119" s="684"/>
      <c r="M119" s="684"/>
      <c r="N119" s="684"/>
      <c r="O119" s="1095"/>
    </row>
    <row r="120" spans="1:15" ht="21" customHeight="1" x14ac:dyDescent="0.3">
      <c r="A120" s="1104"/>
      <c r="B120" s="42"/>
      <c r="C120" s="955"/>
      <c r="D120" s="34"/>
      <c r="E120" s="684"/>
      <c r="F120" s="684"/>
      <c r="G120" s="684"/>
      <c r="H120" s="684"/>
      <c r="I120" s="684"/>
      <c r="J120" s="684"/>
      <c r="K120" s="684"/>
      <c r="L120" s="684"/>
      <c r="M120" s="684"/>
      <c r="N120" s="684"/>
      <c r="O120" s="1095"/>
    </row>
    <row r="121" spans="1:15" ht="21" customHeight="1" x14ac:dyDescent="0.3">
      <c r="A121" s="1104"/>
      <c r="B121" s="42"/>
      <c r="C121" s="955"/>
      <c r="D121" s="41"/>
      <c r="E121" s="684"/>
      <c r="F121" s="684"/>
      <c r="G121" s="684"/>
      <c r="H121" s="684"/>
      <c r="I121" s="684"/>
      <c r="J121" s="684"/>
      <c r="K121" s="684"/>
      <c r="L121" s="684"/>
      <c r="M121" s="684"/>
      <c r="N121" s="684"/>
      <c r="O121" s="1095"/>
    </row>
    <row r="122" spans="1:15" ht="21" customHeight="1" x14ac:dyDescent="0.3">
      <c r="A122" s="691"/>
      <c r="B122" s="42"/>
      <c r="C122" s="955"/>
      <c r="D122" s="41"/>
      <c r="E122" s="684"/>
      <c r="F122" s="684"/>
      <c r="G122" s="684"/>
      <c r="H122" s="684"/>
      <c r="I122" s="684"/>
      <c r="J122" s="684"/>
      <c r="K122" s="684"/>
      <c r="L122" s="684"/>
      <c r="M122" s="684"/>
      <c r="N122" s="684"/>
      <c r="O122" s="1095"/>
    </row>
    <row r="123" spans="1:15" ht="21" customHeight="1" x14ac:dyDescent="0.3">
      <c r="A123" s="1008"/>
      <c r="B123" s="1032"/>
      <c r="C123" s="1033"/>
      <c r="D123" s="1034"/>
      <c r="E123" s="916"/>
      <c r="F123" s="916"/>
      <c r="G123" s="916"/>
      <c r="H123" s="916"/>
      <c r="I123" s="916"/>
      <c r="J123" s="916"/>
      <c r="K123" s="916"/>
      <c r="L123" s="916"/>
      <c r="M123" s="916"/>
      <c r="N123" s="916"/>
      <c r="O123" s="1105"/>
    </row>
    <row r="124" spans="1:15" ht="21" customHeight="1" x14ac:dyDescent="0.3">
      <c r="A124" s="929"/>
      <c r="B124" s="930"/>
      <c r="C124" s="930"/>
      <c r="D124" s="149" t="s">
        <v>257</v>
      </c>
      <c r="E124" s="150">
        <f t="shared" ref="E124:N124" si="33">SUM(E115:E123)</f>
        <v>0</v>
      </c>
      <c r="F124" s="150">
        <f t="shared" si="33"/>
        <v>0</v>
      </c>
      <c r="G124" s="150">
        <f t="shared" si="33"/>
        <v>0</v>
      </c>
      <c r="H124" s="150"/>
      <c r="I124" s="150">
        <f t="shared" si="33"/>
        <v>0</v>
      </c>
      <c r="J124" s="150">
        <f t="shared" si="33"/>
        <v>0</v>
      </c>
      <c r="K124" s="150">
        <f t="shared" si="33"/>
        <v>0</v>
      </c>
      <c r="L124" s="150">
        <f t="shared" si="33"/>
        <v>0</v>
      </c>
      <c r="M124" s="150">
        <f t="shared" si="33"/>
        <v>0</v>
      </c>
      <c r="N124" s="150">
        <f t="shared" si="33"/>
        <v>0</v>
      </c>
      <c r="O124" s="156">
        <f>SUM(E124:N124)</f>
        <v>0</v>
      </c>
    </row>
    <row r="125" spans="1:15" ht="21" customHeight="1" x14ac:dyDescent="0.3">
      <c r="A125" s="929"/>
      <c r="B125" s="930"/>
      <c r="C125" s="930"/>
      <c r="D125" s="149" t="s">
        <v>258</v>
      </c>
      <c r="E125" s="150">
        <f t="shared" ref="E125:N125" si="34">SUM(E113+E124)</f>
        <v>0</v>
      </c>
      <c r="F125" s="150">
        <f t="shared" si="34"/>
        <v>0</v>
      </c>
      <c r="G125" s="150">
        <f t="shared" si="34"/>
        <v>0</v>
      </c>
      <c r="H125" s="150"/>
      <c r="I125" s="150">
        <f t="shared" si="34"/>
        <v>0</v>
      </c>
      <c r="J125" s="150">
        <f t="shared" si="34"/>
        <v>0</v>
      </c>
      <c r="K125" s="150">
        <f t="shared" si="34"/>
        <v>0</v>
      </c>
      <c r="L125" s="150">
        <f t="shared" si="34"/>
        <v>0</v>
      </c>
      <c r="M125" s="150">
        <f t="shared" si="34"/>
        <v>0</v>
      </c>
      <c r="N125" s="150">
        <f t="shared" si="34"/>
        <v>0</v>
      </c>
      <c r="O125" s="150">
        <f>SUM(E125:N125)</f>
        <v>0</v>
      </c>
    </row>
    <row r="126" spans="1:15" ht="21" customHeight="1" x14ac:dyDescent="0.3">
      <c r="A126" s="931"/>
      <c r="B126" s="932"/>
      <c r="C126" s="932"/>
      <c r="D126" s="152" t="s">
        <v>259</v>
      </c>
      <c r="E126" s="153">
        <f t="shared" ref="E126:M126" si="35">SUM(E114-E124)</f>
        <v>2675000</v>
      </c>
      <c r="F126" s="153">
        <f t="shared" si="35"/>
        <v>2782000</v>
      </c>
      <c r="G126" s="153">
        <f t="shared" si="35"/>
        <v>69646000</v>
      </c>
      <c r="H126" s="153">
        <f t="shared" si="35"/>
        <v>6711000</v>
      </c>
      <c r="I126" s="153">
        <f t="shared" si="35"/>
        <v>5591600</v>
      </c>
      <c r="J126" s="153">
        <f t="shared" si="35"/>
        <v>11119200</v>
      </c>
      <c r="K126" s="153">
        <f t="shared" si="35"/>
        <v>0</v>
      </c>
      <c r="L126" s="153">
        <f t="shared" si="35"/>
        <v>0</v>
      </c>
      <c r="M126" s="153">
        <f t="shared" si="35"/>
        <v>0</v>
      </c>
      <c r="N126" s="153">
        <f>SUM(N114-N124)</f>
        <v>0</v>
      </c>
      <c r="O126" s="153">
        <f>SUM(E126:N126)</f>
        <v>98524800</v>
      </c>
    </row>
  </sheetData>
  <autoFilter ref="A2:U126" xr:uid="{00000000-0009-0000-0000-00000A000000}"/>
  <mergeCells count="3">
    <mergeCell ref="G1:I1"/>
    <mergeCell ref="E1:F1"/>
    <mergeCell ref="J1:K1"/>
  </mergeCells>
  <conditionalFormatting sqref="F15:P20 E15:E75 F21:N23 F24:P31 F32:N34 F35:P40 F41:N43 F44:P49 F50:N52 F53:P58 F59:N61 F62:P67 F68:N70 F71:M75 N72:N75 P72:S75 U72:U75 O72:O78 T72:T78 E82:P84 E91:P91 E92:N92 E94:N96 E103:N104 E106:N108 E115:P116 E118:N120">
    <cfRule type="cellIs" dxfId="378" priority="6" stopIfTrue="1" operator="lessThan">
      <formula>0</formula>
    </cfRule>
  </conditionalFormatting>
  <conditionalFormatting sqref="O88:P90">
    <cfRule type="cellIs" dxfId="377" priority="14" stopIfTrue="1" operator="lessThan">
      <formula>0</formula>
    </cfRule>
  </conditionalFormatting>
  <conditionalFormatting sqref="F127:F997">
    <cfRule type="cellIs" dxfId="376" priority="9" stopIfTrue="1" operator="lessThan">
      <formula>0</formula>
    </cfRule>
  </conditionalFormatting>
  <conditionalFormatting sqref="P2:U2">
    <cfRule type="cellIs" dxfId="375" priority="3" stopIfTrue="1" operator="lessThan">
      <formula>0</formula>
    </cfRule>
  </conditionalFormatting>
  <conditionalFormatting sqref="N71:P71 O79:P81">
    <cfRule type="cellIs" dxfId="374" priority="12" stopIfTrue="1" operator="lessThan">
      <formula>0</formula>
    </cfRule>
  </conditionalFormatting>
  <conditionalFormatting sqref="L127:M997">
    <cfRule type="cellIs" dxfId="373" priority="11" stopIfTrue="1" operator="lessThan">
      <formula>0</formula>
    </cfRule>
  </conditionalFormatting>
  <conditionalFormatting sqref="O4">
    <cfRule type="cellIs" dxfId="372" priority="1" stopIfTrue="1" operator="lessThan">
      <formula>0</formula>
    </cfRule>
  </conditionalFormatting>
  <conditionalFormatting sqref="D3:D5">
    <cfRule type="cellIs" dxfId="371" priority="4" stopIfTrue="1" operator="lessThan">
      <formula>0</formula>
    </cfRule>
  </conditionalFormatting>
  <conditionalFormatting sqref="D4">
    <cfRule type="cellIs" dxfId="370" priority="5" operator="lessThan">
      <formula>0</formula>
    </cfRule>
  </conditionalFormatting>
  <conditionalFormatting sqref="H90">
    <cfRule type="cellIs" dxfId="369" priority="2" stopIfTrue="1" operator="lessThan">
      <formula>0</formula>
    </cfRule>
  </conditionalFormatting>
  <conditionalFormatting sqref="I127:I997">
    <cfRule type="cellIs" dxfId="368" priority="10" stopIfTrue="1" operator="lessThan">
      <formula>0</formula>
    </cfRule>
  </conditionalFormatting>
  <conditionalFormatting sqref="O92:O95 O104:O106">
    <cfRule type="cellIs" dxfId="367" priority="13" stopIfTrue="1" operator="lessThan">
      <formula>0</formula>
    </cfRule>
  </conditionalFormatting>
  <conditionalFormatting sqref="O100:P114 Q100:U115">
    <cfRule type="cellIs" dxfId="366" priority="8" stopIfTrue="1" operator="lessThan">
      <formula>0</formula>
    </cfRule>
  </conditionalFormatting>
  <conditionalFormatting sqref="O124:P126">
    <cfRule type="cellIs" dxfId="365" priority="15" stopIfTrue="1" operator="lessThan">
      <formula>0</formula>
    </cfRule>
  </conditionalFormatting>
  <conditionalFormatting sqref="P85:S87">
    <cfRule type="cellIs" dxfId="364" priority="16" stopIfTrue="1" operator="lessThan">
      <formula>0</formula>
    </cfRule>
  </conditionalFormatting>
  <conditionalFormatting sqref="P92:S92">
    <cfRule type="cellIs" dxfId="363" priority="7" stopIfTrue="1" operator="lessThan">
      <formula>0</formula>
    </cfRule>
  </conditionalFormatting>
  <conditionalFormatting sqref="Q83:S84">
    <cfRule type="cellIs" dxfId="362" priority="17" stopIfTrue="1" operator="lessThan">
      <formula>0</formula>
    </cfRule>
  </conditionalFormatting>
  <conditionalFormatting sqref="Q116:S116 T116:U123 O117:S123">
    <cfRule type="cellIs" dxfId="361" priority="18" stopIfTrue="1" operator="lessThan">
      <formula>0</formula>
    </cfRule>
  </conditionalFormatting>
  <conditionalFormatting sqref="Q4:U4">
    <cfRule type="cellIs" dxfId="360" priority="23" stopIfTrue="1" operator="lessThan">
      <formula>0</formula>
    </cfRule>
  </conditionalFormatting>
  <conditionalFormatting sqref="Q15:U71">
    <cfRule type="cellIs" dxfId="359" priority="19" stopIfTrue="1" operator="lessThan">
      <formula>0</formula>
    </cfRule>
  </conditionalFormatting>
  <conditionalFormatting sqref="Q82:U82">
    <cfRule type="cellIs" dxfId="358" priority="20" stopIfTrue="1" operator="lessThan">
      <formula>0</formula>
    </cfRule>
  </conditionalFormatting>
  <conditionalFormatting sqref="Q88:U91 T92:T99">
    <cfRule type="cellIs" dxfId="357" priority="21" stopIfTrue="1" operator="lessThan">
      <formula>0</formula>
    </cfRule>
  </conditionalFormatting>
  <conditionalFormatting sqref="Q124:U997">
    <cfRule type="cellIs" dxfId="356" priority="22" stopIfTrue="1" operator="lessThan">
      <formula>0</formula>
    </cfRule>
  </conditionalFormatting>
  <conditionalFormatting sqref="U92 P94:S99 U94:U99">
    <cfRule type="cellIs" dxfId="355" priority="24" stopIfTrue="1" operator="lessThan">
      <formula>0</formula>
    </cfRule>
  </conditionalFormatting>
  <pageMargins left="0.7" right="0.7" top="0.75" bottom="0.75" header="0" footer="0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293"/>
  <sheetViews>
    <sheetView zoomScale="85" zoomScaleNormal="85" workbookViewId="0">
      <pane xSplit="4" ySplit="5" topLeftCell="E36" activePane="bottomRight" state="frozen"/>
      <selection activeCell="E13" sqref="E13"/>
      <selection pane="topRight" activeCell="E13" sqref="E13"/>
      <selection pane="bottomLeft" activeCell="E13" sqref="E13"/>
      <selection pane="bottomRight" activeCell="J49" sqref="J49"/>
    </sheetView>
  </sheetViews>
  <sheetFormatPr defaultColWidth="14.42578125" defaultRowHeight="15" customHeight="1" x14ac:dyDescent="0.3"/>
  <cols>
    <col min="1" max="1" width="12.140625" style="137" customWidth="1"/>
    <col min="2" max="2" width="12.5703125" style="137" customWidth="1"/>
    <col min="3" max="3" width="12.7109375" style="137" customWidth="1"/>
    <col min="4" max="4" width="84.140625" style="137" customWidth="1"/>
    <col min="5" max="5" width="23.140625" style="137" customWidth="1"/>
    <col min="6" max="8" width="26.85546875" style="137" customWidth="1"/>
    <col min="9" max="9" width="22.28515625" style="137" customWidth="1"/>
    <col min="10" max="10" width="21.85546875" style="137" customWidth="1"/>
    <col min="11" max="11" width="20.7109375" style="137" customWidth="1"/>
    <col min="12" max="12" width="16" style="137" customWidth="1"/>
    <col min="13" max="13" width="18" style="254" customWidth="1"/>
    <col min="14" max="14" width="45.28515625" style="137" customWidth="1"/>
    <col min="15" max="15" width="26.7109375" style="137" customWidth="1"/>
    <col min="16" max="16" width="21.5703125" style="766" customWidth="1"/>
    <col min="17" max="17" width="14" style="770" customWidth="1"/>
    <col min="18" max="18" width="15.7109375" style="137" customWidth="1"/>
    <col min="19" max="19" width="10.140625" style="137" customWidth="1"/>
    <col min="20" max="20" width="9.140625" style="137" customWidth="1"/>
    <col min="21" max="29" width="8.7109375" style="137" customWidth="1"/>
    <col min="30" max="16384" width="14.42578125" style="137"/>
  </cols>
  <sheetData>
    <row r="1" spans="1:19" ht="18.75" customHeight="1" x14ac:dyDescent="0.3">
      <c r="A1" s="1108" t="s">
        <v>201</v>
      </c>
      <c r="B1" s="1109" t="s">
        <v>202</v>
      </c>
      <c r="C1" s="1109" t="s">
        <v>203</v>
      </c>
      <c r="D1" s="1109" t="s">
        <v>77</v>
      </c>
      <c r="E1" s="1110" t="s">
        <v>342</v>
      </c>
      <c r="F1" s="1110" t="s">
        <v>343</v>
      </c>
      <c r="G1" s="1110" t="s">
        <v>344</v>
      </c>
      <c r="H1" s="1110" t="s">
        <v>345</v>
      </c>
      <c r="I1" s="1110" t="s">
        <v>346</v>
      </c>
      <c r="J1" s="1110" t="s">
        <v>347</v>
      </c>
      <c r="K1" s="1110" t="s">
        <v>348</v>
      </c>
      <c r="L1" s="1110" t="s">
        <v>208</v>
      </c>
      <c r="M1" s="1151"/>
      <c r="N1" s="2" t="s">
        <v>274</v>
      </c>
      <c r="O1" s="3" t="s">
        <v>275</v>
      </c>
      <c r="P1" s="667" t="s">
        <v>276</v>
      </c>
      <c r="Q1" s="667" t="s">
        <v>86</v>
      </c>
      <c r="R1" s="4" t="s">
        <v>277</v>
      </c>
      <c r="S1" s="9" t="s">
        <v>340</v>
      </c>
    </row>
    <row r="2" spans="1:19" ht="18.75" customHeight="1" x14ac:dyDescent="0.3">
      <c r="A2" s="1111"/>
      <c r="B2" s="1112"/>
      <c r="C2" s="1112"/>
      <c r="D2" s="1113"/>
      <c r="E2" s="1114"/>
      <c r="F2" s="1115"/>
      <c r="G2" s="1115" t="s">
        <v>349</v>
      </c>
      <c r="H2" s="1115" t="s">
        <v>350</v>
      </c>
      <c r="I2" s="1115" t="s">
        <v>351</v>
      </c>
      <c r="J2" s="1115"/>
      <c r="K2" s="1115" t="s">
        <v>352</v>
      </c>
      <c r="L2" s="1114"/>
      <c r="M2" s="1151"/>
      <c r="N2" s="10"/>
      <c r="O2" s="9"/>
      <c r="P2" s="868"/>
      <c r="Q2" s="869"/>
      <c r="R2" s="9"/>
      <c r="S2" s="9"/>
    </row>
    <row r="3" spans="1:19" ht="18.75" customHeight="1" x14ac:dyDescent="0.3">
      <c r="A3" s="1116"/>
      <c r="B3" s="13"/>
      <c r="C3" s="1043"/>
      <c r="D3" s="15" t="s">
        <v>209</v>
      </c>
      <c r="E3" s="914"/>
      <c r="F3" s="914"/>
      <c r="G3" s="914"/>
      <c r="H3" s="914"/>
      <c r="I3" s="914"/>
      <c r="J3" s="914"/>
      <c r="K3" s="914"/>
      <c r="L3" s="914">
        <f>SUM(E3:K3)</f>
        <v>0</v>
      </c>
      <c r="M3" s="1151"/>
      <c r="N3" s="18"/>
      <c r="O3" s="17"/>
      <c r="P3" s="861"/>
      <c r="Q3" s="862"/>
      <c r="R3" s="17"/>
      <c r="S3" s="17"/>
    </row>
    <row r="4" spans="1:19" ht="18.75" customHeight="1" x14ac:dyDescent="0.3">
      <c r="A4" s="1117"/>
      <c r="B4" s="20"/>
      <c r="C4" s="1046"/>
      <c r="D4" s="22" t="s">
        <v>260</v>
      </c>
      <c r="E4" s="915">
        <f>'[1]รวมใบกัน พ.ย. 67'!C121</f>
        <v>0</v>
      </c>
      <c r="F4" s="915">
        <f>'[1]รวมใบกัน พ.ย. 67'!C122</f>
        <v>474800</v>
      </c>
      <c r="G4" s="915">
        <f>'[1]รวมใบกัน พ.ย. 67'!C123</f>
        <v>335000</v>
      </c>
      <c r="H4" s="915">
        <f>'[1]รวมใบกัน พ.ย. 67'!C124</f>
        <v>25000</v>
      </c>
      <c r="I4" s="915">
        <f>'[1]รวมใบกัน พ.ย. 67'!C125</f>
        <v>124000</v>
      </c>
      <c r="J4" s="915">
        <f>'[1]รวมใบกัน พ.ย. 67'!C126</f>
        <v>577300</v>
      </c>
      <c r="K4" s="915">
        <f>'[1]รวมใบกัน พ.ย. 67'!C127</f>
        <v>30801000</v>
      </c>
      <c r="L4" s="915">
        <f>SUM(E4:K4)</f>
        <v>32337100</v>
      </c>
      <c r="M4" s="1152"/>
      <c r="N4" s="18"/>
      <c r="O4" s="17"/>
      <c r="P4" s="762">
        <f>SUM(P6:P26)</f>
        <v>0</v>
      </c>
      <c r="Q4" s="768">
        <f>SUM(Q6:Q26)</f>
        <v>174651.97</v>
      </c>
      <c r="R4" s="17"/>
      <c r="S4" s="17"/>
    </row>
    <row r="5" spans="1:19" ht="18.75" customHeight="1" x14ac:dyDescent="0.3">
      <c r="A5" s="1117"/>
      <c r="B5" s="1046"/>
      <c r="C5" s="1046"/>
      <c r="D5" s="1118" t="s">
        <v>211</v>
      </c>
      <c r="E5" s="915"/>
      <c r="F5" s="915"/>
      <c r="G5" s="915"/>
      <c r="H5" s="915"/>
      <c r="I5" s="915"/>
      <c r="J5" s="915"/>
      <c r="K5" s="915"/>
      <c r="L5" s="915"/>
      <c r="M5" s="1151"/>
      <c r="N5" s="18"/>
      <c r="O5" s="17"/>
      <c r="P5" s="795"/>
      <c r="Q5" s="796"/>
      <c r="R5" s="17"/>
      <c r="S5" s="17"/>
    </row>
    <row r="6" spans="1:19" ht="18.75" customHeight="1" x14ac:dyDescent="0.3">
      <c r="A6" s="1119" t="s">
        <v>212</v>
      </c>
      <c r="B6" s="27"/>
      <c r="C6" s="1028"/>
      <c r="D6" s="29"/>
      <c r="E6" s="1029"/>
      <c r="F6" s="1029"/>
      <c r="G6" s="1029"/>
      <c r="H6" s="1029"/>
      <c r="I6" s="1029"/>
      <c r="J6" s="1029"/>
      <c r="K6" s="1029"/>
      <c r="L6" s="1120">
        <f>SUM(E6:K6)</f>
        <v>0</v>
      </c>
      <c r="M6" s="1153"/>
      <c r="N6" s="29"/>
      <c r="O6" s="4"/>
      <c r="P6" s="861"/>
      <c r="Q6" s="863"/>
      <c r="R6" s="4"/>
      <c r="S6" s="4"/>
    </row>
    <row r="7" spans="1:19" ht="56.25" x14ac:dyDescent="0.3">
      <c r="A7" s="957">
        <v>45548</v>
      </c>
      <c r="B7" s="42" t="s">
        <v>1288</v>
      </c>
      <c r="C7" s="955" t="s">
        <v>1287</v>
      </c>
      <c r="D7" s="34" t="s">
        <v>1458</v>
      </c>
      <c r="E7" s="684"/>
      <c r="F7" s="684"/>
      <c r="G7" s="684"/>
      <c r="H7" s="684"/>
      <c r="I7" s="684"/>
      <c r="J7" s="684"/>
      <c r="K7" s="1121">
        <v>1295300</v>
      </c>
      <c r="L7" s="1120">
        <f t="shared" ref="L7:L14" si="0">SUM(E7:K7)</f>
        <v>1295300</v>
      </c>
      <c r="M7" s="1154" t="s">
        <v>1289</v>
      </c>
      <c r="N7" s="34" t="s">
        <v>1414</v>
      </c>
      <c r="O7" s="37">
        <v>1195300</v>
      </c>
      <c r="P7" s="764"/>
      <c r="Q7" s="769">
        <f>L7-O7-P7</f>
        <v>100000</v>
      </c>
      <c r="R7" s="37"/>
      <c r="S7" s="37"/>
    </row>
    <row r="8" spans="1:19" ht="56.25" x14ac:dyDescent="0.3">
      <c r="A8" s="957">
        <v>45572</v>
      </c>
      <c r="B8" s="42" t="s">
        <v>1320</v>
      </c>
      <c r="C8" s="1056" t="s">
        <v>1321</v>
      </c>
      <c r="D8" s="775" t="s">
        <v>1319</v>
      </c>
      <c r="E8" s="684"/>
      <c r="F8" s="684"/>
      <c r="G8" s="684"/>
      <c r="H8" s="684"/>
      <c r="I8" s="684"/>
      <c r="J8" s="684"/>
      <c r="K8" s="1121">
        <v>3500</v>
      </c>
      <c r="L8" s="1120">
        <f t="shared" si="0"/>
        <v>3500</v>
      </c>
      <c r="M8" s="1155">
        <v>45573</v>
      </c>
      <c r="N8" s="41" t="s">
        <v>1322</v>
      </c>
      <c r="O8" s="37">
        <v>3500</v>
      </c>
      <c r="P8" s="764"/>
      <c r="Q8" s="769">
        <f>L8-O8-P8</f>
        <v>0</v>
      </c>
      <c r="R8" s="37"/>
      <c r="S8" s="37"/>
    </row>
    <row r="9" spans="1:19" ht="56.25" x14ac:dyDescent="0.3">
      <c r="A9" s="957">
        <v>45586</v>
      </c>
      <c r="B9" s="42" t="s">
        <v>1362</v>
      </c>
      <c r="C9" s="1056" t="s">
        <v>1358</v>
      </c>
      <c r="D9" s="775" t="s">
        <v>1359</v>
      </c>
      <c r="E9" s="684"/>
      <c r="F9" s="684">
        <v>19000</v>
      </c>
      <c r="G9" s="684"/>
      <c r="H9" s="684"/>
      <c r="I9" s="684"/>
      <c r="J9" s="684"/>
      <c r="K9" s="684"/>
      <c r="L9" s="1120">
        <f t="shared" si="0"/>
        <v>19000</v>
      </c>
      <c r="M9" s="1155">
        <v>45643</v>
      </c>
      <c r="N9" s="41" t="s">
        <v>1619</v>
      </c>
      <c r="O9" s="37">
        <v>19000</v>
      </c>
      <c r="P9" s="764"/>
      <c r="Q9" s="769">
        <f t="shared" ref="Q9:Q26" si="1">L9-O9-P9</f>
        <v>0</v>
      </c>
      <c r="R9" s="37"/>
      <c r="S9" s="37"/>
    </row>
    <row r="10" spans="1:19" ht="37.5" x14ac:dyDescent="0.3">
      <c r="A10" s="957">
        <v>45586</v>
      </c>
      <c r="B10" s="42" t="s">
        <v>1363</v>
      </c>
      <c r="C10" s="1056" t="s">
        <v>1360</v>
      </c>
      <c r="D10" s="775" t="s">
        <v>1361</v>
      </c>
      <c r="E10" s="684"/>
      <c r="F10" s="684">
        <v>9000</v>
      </c>
      <c r="G10" s="684"/>
      <c r="H10" s="684"/>
      <c r="I10" s="684"/>
      <c r="J10" s="684"/>
      <c r="K10" s="684"/>
      <c r="L10" s="1120">
        <f t="shared" si="0"/>
        <v>9000</v>
      </c>
      <c r="M10" s="1155">
        <v>45680</v>
      </c>
      <c r="N10" s="63" t="s">
        <v>1846</v>
      </c>
      <c r="O10" s="37">
        <v>9000</v>
      </c>
      <c r="P10" s="764"/>
      <c r="Q10" s="769">
        <f t="shared" si="1"/>
        <v>0</v>
      </c>
      <c r="R10" s="37"/>
      <c r="S10" s="37"/>
    </row>
    <row r="11" spans="1:19" ht="45.6" customHeight="1" x14ac:dyDescent="0.3">
      <c r="A11" s="957">
        <v>45590</v>
      </c>
      <c r="B11" s="42" t="s">
        <v>1407</v>
      </c>
      <c r="C11" s="1056" t="s">
        <v>1385</v>
      </c>
      <c r="D11" s="775" t="s">
        <v>1386</v>
      </c>
      <c r="E11" s="684"/>
      <c r="F11" s="684"/>
      <c r="G11" s="684">
        <v>7200</v>
      </c>
      <c r="H11" s="684"/>
      <c r="I11" s="684"/>
      <c r="J11" s="684"/>
      <c r="K11" s="684"/>
      <c r="L11" s="1120">
        <f t="shared" si="0"/>
        <v>7200</v>
      </c>
      <c r="M11" s="1155">
        <v>45628</v>
      </c>
      <c r="N11" s="41" t="s">
        <v>1621</v>
      </c>
      <c r="O11" s="37">
        <v>2535</v>
      </c>
      <c r="P11" s="764"/>
      <c r="Q11" s="769">
        <f t="shared" si="1"/>
        <v>4665</v>
      </c>
      <c r="R11" s="37"/>
      <c r="S11" s="37"/>
    </row>
    <row r="12" spans="1:19" ht="93.75" x14ac:dyDescent="0.3">
      <c r="A12" s="957">
        <v>45596</v>
      </c>
      <c r="B12" s="672" t="s">
        <v>1406</v>
      </c>
      <c r="C12" s="1056" t="s">
        <v>1405</v>
      </c>
      <c r="D12" s="775" t="s">
        <v>1625</v>
      </c>
      <c r="E12" s="684"/>
      <c r="F12" s="684"/>
      <c r="G12" s="684"/>
      <c r="H12" s="684"/>
      <c r="I12" s="684"/>
      <c r="J12" s="684">
        <v>220000</v>
      </c>
      <c r="K12" s="684"/>
      <c r="L12" s="1120">
        <f t="shared" si="0"/>
        <v>220000</v>
      </c>
      <c r="M12" s="1154" t="s">
        <v>1623</v>
      </c>
      <c r="N12" s="987" t="s">
        <v>1624</v>
      </c>
      <c r="O12" s="37">
        <v>167940</v>
      </c>
      <c r="P12" s="764"/>
      <c r="Q12" s="769">
        <f t="shared" si="1"/>
        <v>52060</v>
      </c>
      <c r="R12" s="37"/>
      <c r="S12" s="37"/>
    </row>
    <row r="13" spans="1:19" ht="18.75" customHeight="1" x14ac:dyDescent="0.3">
      <c r="A13" s="1122"/>
      <c r="B13" s="672"/>
      <c r="C13" s="1056"/>
      <c r="D13" s="954"/>
      <c r="E13" s="684"/>
      <c r="F13" s="684"/>
      <c r="G13" s="684"/>
      <c r="H13" s="684"/>
      <c r="I13" s="684"/>
      <c r="J13" s="684"/>
      <c r="K13" s="684"/>
      <c r="L13" s="1120">
        <f t="shared" si="0"/>
        <v>0</v>
      </c>
      <c r="M13" s="1156"/>
      <c r="N13" s="41"/>
      <c r="O13" s="37"/>
      <c r="P13" s="764"/>
      <c r="Q13" s="769">
        <f t="shared" si="1"/>
        <v>0</v>
      </c>
      <c r="R13" s="37"/>
      <c r="S13" s="37"/>
    </row>
    <row r="14" spans="1:19" ht="21.75" customHeight="1" x14ac:dyDescent="0.3">
      <c r="A14" s="1123"/>
      <c r="B14" s="1124"/>
      <c r="C14" s="1125"/>
      <c r="D14" s="1126"/>
      <c r="E14" s="916"/>
      <c r="F14" s="916"/>
      <c r="G14" s="916"/>
      <c r="H14" s="916"/>
      <c r="I14" s="916"/>
      <c r="J14" s="916"/>
      <c r="K14" s="916"/>
      <c r="L14" s="1120">
        <f t="shared" si="0"/>
        <v>0</v>
      </c>
      <c r="M14" s="1155"/>
      <c r="N14" s="41"/>
      <c r="O14" s="37"/>
      <c r="P14" s="764"/>
      <c r="Q14" s="769">
        <f t="shared" si="1"/>
        <v>0</v>
      </c>
      <c r="R14" s="37"/>
      <c r="S14" s="37"/>
    </row>
    <row r="15" spans="1:19" ht="18.75" customHeight="1" x14ac:dyDescent="0.3">
      <c r="A15" s="50"/>
      <c r="B15" s="51"/>
      <c r="C15" s="51"/>
      <c r="D15" s="52" t="s">
        <v>213</v>
      </c>
      <c r="E15" s="53">
        <f t="shared" ref="E15:K15" si="2">SUM(E6:E14)</f>
        <v>0</v>
      </c>
      <c r="F15" s="53">
        <f t="shared" si="2"/>
        <v>28000</v>
      </c>
      <c r="G15" s="53">
        <f t="shared" si="2"/>
        <v>7200</v>
      </c>
      <c r="H15" s="53">
        <f t="shared" si="2"/>
        <v>0</v>
      </c>
      <c r="I15" s="53">
        <f t="shared" si="2"/>
        <v>0</v>
      </c>
      <c r="J15" s="53">
        <f t="shared" si="2"/>
        <v>220000</v>
      </c>
      <c r="K15" s="53">
        <f t="shared" si="2"/>
        <v>1298800</v>
      </c>
      <c r="L15" s="989">
        <f>SUM(E15:K15)</f>
        <v>1554000</v>
      </c>
      <c r="M15" s="1157"/>
      <c r="N15" s="56"/>
      <c r="O15" s="55"/>
      <c r="P15" s="764"/>
      <c r="Q15" s="769"/>
      <c r="R15" s="55"/>
      <c r="S15" s="55"/>
    </row>
    <row r="16" spans="1:19" ht="18.75" customHeight="1" x14ac:dyDescent="0.3">
      <c r="A16" s="50"/>
      <c r="B16" s="51"/>
      <c r="C16" s="51"/>
      <c r="D16" s="52" t="s">
        <v>341</v>
      </c>
      <c r="E16" s="54">
        <f t="shared" ref="E16:K16" si="3">SUM(E3+E15)</f>
        <v>0</v>
      </c>
      <c r="F16" s="54">
        <f t="shared" si="3"/>
        <v>28000</v>
      </c>
      <c r="G16" s="54">
        <f t="shared" si="3"/>
        <v>7200</v>
      </c>
      <c r="H16" s="54">
        <f t="shared" si="3"/>
        <v>0</v>
      </c>
      <c r="I16" s="54">
        <f t="shared" si="3"/>
        <v>0</v>
      </c>
      <c r="J16" s="54">
        <f t="shared" si="3"/>
        <v>220000</v>
      </c>
      <c r="K16" s="54">
        <f t="shared" si="3"/>
        <v>1298800</v>
      </c>
      <c r="L16" s="54">
        <f>SUM(E16:K16)</f>
        <v>1554000</v>
      </c>
      <c r="M16" s="1157"/>
      <c r="N16" s="56"/>
      <c r="O16" s="55"/>
      <c r="P16" s="764"/>
      <c r="Q16" s="769"/>
      <c r="R16" s="55"/>
      <c r="S16" s="55"/>
    </row>
    <row r="17" spans="1:19" ht="18.75" customHeight="1" x14ac:dyDescent="0.3">
      <c r="A17" s="57"/>
      <c r="B17" s="58"/>
      <c r="C17" s="58"/>
      <c r="D17" s="59" t="s">
        <v>210</v>
      </c>
      <c r="E17" s="60">
        <f t="shared" ref="E17:J17" si="4">SUM(E4-E15)</f>
        <v>0</v>
      </c>
      <c r="F17" s="60">
        <f t="shared" si="4"/>
        <v>446800</v>
      </c>
      <c r="G17" s="60">
        <f t="shared" si="4"/>
        <v>327800</v>
      </c>
      <c r="H17" s="60">
        <f t="shared" si="4"/>
        <v>25000</v>
      </c>
      <c r="I17" s="60">
        <f t="shared" si="4"/>
        <v>124000</v>
      </c>
      <c r="J17" s="60">
        <f t="shared" si="4"/>
        <v>357300</v>
      </c>
      <c r="K17" s="60">
        <f>SUM(K4-K15)</f>
        <v>29502200</v>
      </c>
      <c r="L17" s="60">
        <f>SUM(E17:K17)</f>
        <v>30783100</v>
      </c>
      <c r="N17" s="1012"/>
      <c r="O17" s="1012"/>
      <c r="P17" s="764"/>
      <c r="Q17" s="769"/>
      <c r="R17" s="1012"/>
      <c r="S17" s="1012"/>
    </row>
    <row r="18" spans="1:19" ht="18.75" customHeight="1" x14ac:dyDescent="0.3">
      <c r="A18" s="1127" t="s">
        <v>216</v>
      </c>
      <c r="B18" s="42"/>
      <c r="C18" s="955"/>
      <c r="D18" s="41"/>
      <c r="E18" s="684"/>
      <c r="F18" s="684"/>
      <c r="G18" s="684"/>
      <c r="H18" s="684"/>
      <c r="I18" s="684"/>
      <c r="J18" s="684"/>
      <c r="K18" s="684"/>
      <c r="L18" s="1096">
        <f>SUM(E18:K18)</f>
        <v>0</v>
      </c>
      <c r="N18" s="1012"/>
      <c r="O18" s="1012"/>
      <c r="P18" s="764"/>
      <c r="Q18" s="769">
        <f t="shared" si="1"/>
        <v>0</v>
      </c>
      <c r="R18" s="1012"/>
      <c r="S18" s="1012"/>
    </row>
    <row r="19" spans="1:19" ht="18.75" customHeight="1" x14ac:dyDescent="0.3">
      <c r="A19" s="957">
        <v>45609</v>
      </c>
      <c r="B19" s="672" t="s">
        <v>1613</v>
      </c>
      <c r="C19" s="955" t="s">
        <v>1287</v>
      </c>
      <c r="D19" s="34" t="s">
        <v>1614</v>
      </c>
      <c r="E19" s="684"/>
      <c r="F19" s="684"/>
      <c r="G19" s="684"/>
      <c r="H19" s="684"/>
      <c r="I19" s="684"/>
      <c r="J19" s="684"/>
      <c r="K19" s="684">
        <v>17926.97</v>
      </c>
      <c r="L19" s="1120">
        <f t="shared" ref="L19:L24" si="5">SUM(E19:K19)</f>
        <v>17926.97</v>
      </c>
      <c r="M19" s="326">
        <v>243969</v>
      </c>
      <c r="N19" s="1012" t="s">
        <v>1635</v>
      </c>
      <c r="O19" s="1150">
        <v>17926.97</v>
      </c>
      <c r="P19" s="764"/>
      <c r="Q19" s="769">
        <f t="shared" si="1"/>
        <v>0</v>
      </c>
      <c r="R19" s="1012"/>
      <c r="S19" s="1012"/>
    </row>
    <row r="20" spans="1:19" ht="18.75" customHeight="1" x14ac:dyDescent="0.3">
      <c r="A20" s="1128"/>
      <c r="B20" s="42"/>
      <c r="C20" s="955"/>
      <c r="D20" s="40"/>
      <c r="E20" s="684"/>
      <c r="F20" s="684"/>
      <c r="G20" s="684"/>
      <c r="H20" s="684"/>
      <c r="I20" s="684"/>
      <c r="J20" s="684"/>
      <c r="K20" s="684"/>
      <c r="L20" s="1120">
        <f t="shared" si="5"/>
        <v>0</v>
      </c>
      <c r="N20" s="1012"/>
      <c r="O20" s="1012"/>
      <c r="P20" s="764"/>
      <c r="Q20" s="769">
        <f t="shared" si="1"/>
        <v>0</v>
      </c>
      <c r="R20" s="1012"/>
      <c r="S20" s="1012"/>
    </row>
    <row r="21" spans="1:19" ht="18.75" customHeight="1" x14ac:dyDescent="0.3">
      <c r="A21" s="1128"/>
      <c r="B21" s="42"/>
      <c r="C21" s="955"/>
      <c r="D21" s="40"/>
      <c r="E21" s="684"/>
      <c r="F21" s="684"/>
      <c r="G21" s="684"/>
      <c r="H21" s="684"/>
      <c r="I21" s="684"/>
      <c r="J21" s="684"/>
      <c r="K21" s="684"/>
      <c r="L21" s="1120">
        <f t="shared" si="5"/>
        <v>0</v>
      </c>
      <c r="N21" s="1012"/>
      <c r="O21" s="1012"/>
      <c r="P21" s="764"/>
      <c r="Q21" s="769">
        <f t="shared" si="1"/>
        <v>0</v>
      </c>
      <c r="R21" s="1012"/>
      <c r="S21" s="1012"/>
    </row>
    <row r="22" spans="1:19" ht="18.75" customHeight="1" x14ac:dyDescent="0.3">
      <c r="A22" s="1129"/>
      <c r="B22" s="67"/>
      <c r="C22" s="1107"/>
      <c r="D22" s="69"/>
      <c r="E22" s="684"/>
      <c r="F22" s="684"/>
      <c r="G22" s="684"/>
      <c r="H22" s="684"/>
      <c r="I22" s="684"/>
      <c r="J22" s="684"/>
      <c r="K22" s="684"/>
      <c r="L22" s="1120">
        <f t="shared" si="5"/>
        <v>0</v>
      </c>
      <c r="N22" s="1012"/>
      <c r="O22" s="1012"/>
      <c r="P22" s="764"/>
      <c r="Q22" s="769">
        <f t="shared" si="1"/>
        <v>0</v>
      </c>
      <c r="R22" s="1012"/>
      <c r="S22" s="1012"/>
    </row>
    <row r="23" spans="1:19" ht="18.75" customHeight="1" x14ac:dyDescent="0.3">
      <c r="A23" s="1128"/>
      <c r="B23" s="42"/>
      <c r="C23" s="955"/>
      <c r="D23" s="41"/>
      <c r="E23" s="684"/>
      <c r="F23" s="684"/>
      <c r="G23" s="684"/>
      <c r="H23" s="684"/>
      <c r="I23" s="684"/>
      <c r="J23" s="684"/>
      <c r="K23" s="684"/>
      <c r="L23" s="1120">
        <f t="shared" si="5"/>
        <v>0</v>
      </c>
      <c r="N23" s="1012"/>
      <c r="O23" s="1012"/>
      <c r="P23" s="764"/>
      <c r="Q23" s="769">
        <f t="shared" si="1"/>
        <v>0</v>
      </c>
      <c r="R23" s="1012"/>
      <c r="S23" s="1012"/>
    </row>
    <row r="24" spans="1:19" ht="18.75" customHeight="1" x14ac:dyDescent="0.3">
      <c r="A24" s="1128"/>
      <c r="B24" s="42"/>
      <c r="C24" s="955"/>
      <c r="D24" s="41"/>
      <c r="E24" s="684"/>
      <c r="F24" s="684"/>
      <c r="G24" s="684"/>
      <c r="H24" s="684"/>
      <c r="I24" s="684"/>
      <c r="J24" s="684"/>
      <c r="K24" s="684"/>
      <c r="L24" s="1120">
        <f t="shared" si="5"/>
        <v>0</v>
      </c>
      <c r="N24" s="1012"/>
      <c r="O24" s="1012"/>
      <c r="P24" s="764"/>
      <c r="Q24" s="769">
        <f t="shared" si="1"/>
        <v>0</v>
      </c>
      <c r="R24" s="1012"/>
      <c r="S24" s="1012"/>
    </row>
    <row r="25" spans="1:19" ht="18.75" customHeight="1" x14ac:dyDescent="0.3">
      <c r="A25" s="1128"/>
      <c r="B25" s="42"/>
      <c r="C25" s="955"/>
      <c r="D25" s="41"/>
      <c r="E25" s="684"/>
      <c r="F25" s="684"/>
      <c r="G25" s="684"/>
      <c r="H25" s="684"/>
      <c r="I25" s="684"/>
      <c r="J25" s="684"/>
      <c r="K25" s="684"/>
      <c r="L25" s="1096"/>
      <c r="N25" s="1012"/>
      <c r="O25" s="1012"/>
      <c r="P25" s="764"/>
      <c r="Q25" s="769">
        <f t="shared" si="1"/>
        <v>0</v>
      </c>
      <c r="R25" s="1012"/>
      <c r="S25" s="1012"/>
    </row>
    <row r="26" spans="1:19" ht="18.75" customHeight="1" x14ac:dyDescent="0.3">
      <c r="A26" s="1130"/>
      <c r="B26" s="1131"/>
      <c r="C26" s="1131"/>
      <c r="D26" s="988" t="s">
        <v>217</v>
      </c>
      <c r="E26" s="989">
        <f t="shared" ref="E26:K26" si="6">SUM(E18:E25)</f>
        <v>0</v>
      </c>
      <c r="F26" s="989">
        <f t="shared" si="6"/>
        <v>0</v>
      </c>
      <c r="G26" s="989">
        <f t="shared" si="6"/>
        <v>0</v>
      </c>
      <c r="H26" s="989">
        <f t="shared" si="6"/>
        <v>0</v>
      </c>
      <c r="I26" s="53">
        <f t="shared" si="6"/>
        <v>0</v>
      </c>
      <c r="J26" s="53">
        <f t="shared" si="6"/>
        <v>0</v>
      </c>
      <c r="K26" s="53">
        <f t="shared" si="6"/>
        <v>17926.97</v>
      </c>
      <c r="L26" s="54">
        <f>SUM(E26:K26)</f>
        <v>17926.97</v>
      </c>
      <c r="N26" s="1012"/>
      <c r="O26" s="1012"/>
      <c r="P26" s="764"/>
      <c r="Q26" s="769">
        <f t="shared" si="1"/>
        <v>17926.97</v>
      </c>
      <c r="R26" s="1012"/>
      <c r="S26" s="1012"/>
    </row>
    <row r="27" spans="1:19" ht="18.75" customHeight="1" x14ac:dyDescent="0.3">
      <c r="A27" s="50"/>
      <c r="B27" s="51"/>
      <c r="C27" s="51"/>
      <c r="D27" s="52" t="s">
        <v>218</v>
      </c>
      <c r="E27" s="54">
        <f t="shared" ref="E27:J27" si="7">SUM(E16+E26)</f>
        <v>0</v>
      </c>
      <c r="F27" s="54">
        <f t="shared" si="7"/>
        <v>28000</v>
      </c>
      <c r="G27" s="54">
        <f t="shared" si="7"/>
        <v>7200</v>
      </c>
      <c r="H27" s="54">
        <f t="shared" si="7"/>
        <v>0</v>
      </c>
      <c r="I27" s="54">
        <f t="shared" si="7"/>
        <v>0</v>
      </c>
      <c r="J27" s="54">
        <f t="shared" si="7"/>
        <v>220000</v>
      </c>
      <c r="K27" s="54">
        <f>SUM(K16+K26)</f>
        <v>1316726.97</v>
      </c>
      <c r="L27" s="54">
        <f>SUM(E27:K27)</f>
        <v>1571926.97</v>
      </c>
      <c r="N27" s="1012"/>
      <c r="O27" s="1012"/>
      <c r="P27" s="861"/>
      <c r="Q27" s="769"/>
      <c r="R27" s="1012"/>
      <c r="S27" s="1012"/>
    </row>
    <row r="28" spans="1:19" ht="18.75" customHeight="1" x14ac:dyDescent="0.3">
      <c r="A28" s="57"/>
      <c r="B28" s="58"/>
      <c r="C28" s="58"/>
      <c r="D28" s="59" t="s">
        <v>219</v>
      </c>
      <c r="E28" s="60">
        <f t="shared" ref="E28:K28" si="8">SUM(E17-E26)</f>
        <v>0</v>
      </c>
      <c r="F28" s="60">
        <f t="shared" si="8"/>
        <v>446800</v>
      </c>
      <c r="G28" s="60">
        <f t="shared" si="8"/>
        <v>327800</v>
      </c>
      <c r="H28" s="60">
        <f t="shared" si="8"/>
        <v>25000</v>
      </c>
      <c r="I28" s="60">
        <f t="shared" si="8"/>
        <v>124000</v>
      </c>
      <c r="J28" s="60">
        <f t="shared" si="8"/>
        <v>357300</v>
      </c>
      <c r="K28" s="60">
        <f t="shared" si="8"/>
        <v>29484273.030000001</v>
      </c>
      <c r="L28" s="60">
        <f>SUM(E28:K28)</f>
        <v>30765173.030000001</v>
      </c>
      <c r="N28" s="1012"/>
      <c r="O28" s="1012"/>
      <c r="P28" s="861"/>
      <c r="Q28" s="769"/>
      <c r="R28" s="1012"/>
      <c r="S28" s="1012"/>
    </row>
    <row r="29" spans="1:19" ht="18.75" customHeight="1" x14ac:dyDescent="0.3">
      <c r="A29" s="1132" t="s">
        <v>220</v>
      </c>
      <c r="B29" s="42"/>
      <c r="C29" s="955"/>
      <c r="D29" s="41"/>
      <c r="E29" s="684"/>
      <c r="F29" s="684"/>
      <c r="G29" s="684"/>
      <c r="H29" s="1133"/>
      <c r="I29" s="1134"/>
      <c r="J29" s="1134"/>
      <c r="K29" s="1134"/>
      <c r="L29" s="1135">
        <f>SUM(E29:K29)</f>
        <v>0</v>
      </c>
      <c r="N29" s="1012"/>
      <c r="O29" s="1012"/>
      <c r="P29" s="861"/>
      <c r="Q29" s="769"/>
      <c r="R29" s="1012"/>
      <c r="S29" s="1012"/>
    </row>
    <row r="30" spans="1:19" ht="37.5" x14ac:dyDescent="0.3">
      <c r="A30" s="957">
        <v>45632</v>
      </c>
      <c r="B30" s="672" t="s">
        <v>1674</v>
      </c>
      <c r="C30" s="1187" t="s">
        <v>1673</v>
      </c>
      <c r="D30" s="133" t="s">
        <v>1914</v>
      </c>
      <c r="E30" s="968"/>
      <c r="F30" s="968"/>
      <c r="G30" s="968"/>
      <c r="H30" s="968"/>
      <c r="I30" s="971"/>
      <c r="J30" s="971"/>
      <c r="K30" s="1189">
        <v>262000</v>
      </c>
      <c r="L30" s="1120">
        <f t="shared" ref="L30:L38" si="9">SUM(E30:K30)</f>
        <v>262000</v>
      </c>
      <c r="M30" s="326">
        <v>45666</v>
      </c>
      <c r="N30" s="1012" t="s">
        <v>1871</v>
      </c>
      <c r="O30" s="1150">
        <v>25000</v>
      </c>
      <c r="P30" s="764"/>
      <c r="Q30" s="769">
        <f>L30-O30-P30</f>
        <v>237000</v>
      </c>
      <c r="R30" s="1012"/>
      <c r="S30" s="1012"/>
    </row>
    <row r="31" spans="1:19" ht="18.75" x14ac:dyDescent="0.3">
      <c r="A31" s="968"/>
      <c r="B31" s="971"/>
      <c r="C31" s="971"/>
      <c r="D31" s="1012"/>
      <c r="E31" s="968"/>
      <c r="F31" s="968"/>
      <c r="G31" s="968"/>
      <c r="H31" s="968"/>
      <c r="I31" s="971"/>
      <c r="J31" s="971"/>
      <c r="K31" s="971"/>
      <c r="L31" s="1120">
        <f t="shared" si="9"/>
        <v>0</v>
      </c>
      <c r="N31" s="1012"/>
      <c r="O31" s="1012"/>
      <c r="P31" s="764"/>
      <c r="Q31" s="769">
        <f>L31-O31-P31</f>
        <v>0</v>
      </c>
      <c r="R31" s="1012"/>
      <c r="S31" s="1012"/>
    </row>
    <row r="32" spans="1:19" ht="18.75" x14ac:dyDescent="0.3">
      <c r="A32" s="968"/>
      <c r="B32" s="971"/>
      <c r="C32" s="971"/>
      <c r="D32" s="1012"/>
      <c r="E32" s="968"/>
      <c r="F32" s="968"/>
      <c r="G32" s="968"/>
      <c r="H32" s="968"/>
      <c r="I32" s="971"/>
      <c r="J32" s="971"/>
      <c r="K32" s="971"/>
      <c r="L32" s="1120">
        <f t="shared" si="9"/>
        <v>0</v>
      </c>
      <c r="N32" s="1012"/>
      <c r="O32" s="1012"/>
      <c r="P32" s="764"/>
      <c r="Q32" s="769">
        <f t="shared" ref="Q32:Q50" si="10">L32-O32-P32</f>
        <v>0</v>
      </c>
      <c r="R32" s="1012"/>
      <c r="S32" s="1012"/>
    </row>
    <row r="33" spans="1:19" ht="18.75" x14ac:dyDescent="0.3">
      <c r="A33" s="968"/>
      <c r="B33" s="971"/>
      <c r="C33" s="971"/>
      <c r="D33" s="1012"/>
      <c r="E33" s="968"/>
      <c r="F33" s="968"/>
      <c r="G33" s="968"/>
      <c r="H33" s="968"/>
      <c r="I33" s="971"/>
      <c r="J33" s="971"/>
      <c r="K33" s="971"/>
      <c r="L33" s="1120">
        <f t="shared" si="9"/>
        <v>0</v>
      </c>
      <c r="N33" s="1012"/>
      <c r="O33" s="1012"/>
      <c r="P33" s="764"/>
      <c r="Q33" s="769">
        <f t="shared" si="10"/>
        <v>0</v>
      </c>
      <c r="R33" s="1012"/>
      <c r="S33" s="1012"/>
    </row>
    <row r="34" spans="1:19" ht="18.75" x14ac:dyDescent="0.3">
      <c r="A34" s="968"/>
      <c r="B34" s="971"/>
      <c r="C34" s="971"/>
      <c r="D34" s="1012"/>
      <c r="E34" s="968"/>
      <c r="F34" s="968"/>
      <c r="G34" s="968"/>
      <c r="H34" s="968"/>
      <c r="I34" s="971"/>
      <c r="J34" s="971"/>
      <c r="K34" s="971"/>
      <c r="L34" s="1120">
        <f t="shared" si="9"/>
        <v>0</v>
      </c>
      <c r="N34" s="1012"/>
      <c r="O34" s="1012"/>
      <c r="P34" s="764"/>
      <c r="Q34" s="769">
        <f t="shared" si="10"/>
        <v>0</v>
      </c>
      <c r="R34" s="1012"/>
      <c r="S34" s="1012"/>
    </row>
    <row r="35" spans="1:19" ht="18.75" x14ac:dyDescent="0.3">
      <c r="A35" s="968"/>
      <c r="B35" s="971"/>
      <c r="C35" s="971"/>
      <c r="D35" s="1012"/>
      <c r="E35" s="968"/>
      <c r="F35" s="968"/>
      <c r="G35" s="968"/>
      <c r="H35" s="968"/>
      <c r="I35" s="971"/>
      <c r="J35" s="971"/>
      <c r="K35" s="971"/>
      <c r="L35" s="1120">
        <f t="shared" si="9"/>
        <v>0</v>
      </c>
      <c r="N35" s="1012"/>
      <c r="O35" s="1012"/>
      <c r="P35" s="764"/>
      <c r="Q35" s="769">
        <f t="shared" si="10"/>
        <v>0</v>
      </c>
      <c r="R35" s="1012"/>
      <c r="S35" s="1012"/>
    </row>
    <row r="36" spans="1:19" ht="18.75" x14ac:dyDescent="0.3">
      <c r="A36" s="968"/>
      <c r="B36" s="971"/>
      <c r="C36" s="971"/>
      <c r="D36" s="1012"/>
      <c r="E36" s="968"/>
      <c r="F36" s="968"/>
      <c r="G36" s="968"/>
      <c r="H36" s="968"/>
      <c r="I36" s="971"/>
      <c r="J36" s="971"/>
      <c r="K36" s="971"/>
      <c r="L36" s="1120">
        <f t="shared" si="9"/>
        <v>0</v>
      </c>
      <c r="N36" s="1012"/>
      <c r="O36" s="1012"/>
      <c r="P36" s="764"/>
      <c r="Q36" s="769">
        <f t="shared" si="10"/>
        <v>0</v>
      </c>
      <c r="R36" s="1012"/>
      <c r="S36" s="1012"/>
    </row>
    <row r="37" spans="1:19" ht="18.75" x14ac:dyDescent="0.3">
      <c r="A37" s="968"/>
      <c r="B37" s="971"/>
      <c r="C37" s="971"/>
      <c r="D37" s="1012"/>
      <c r="E37" s="968"/>
      <c r="F37" s="968"/>
      <c r="G37" s="968"/>
      <c r="H37" s="968"/>
      <c r="I37" s="971"/>
      <c r="J37" s="971"/>
      <c r="K37" s="971"/>
      <c r="L37" s="1120">
        <f t="shared" si="9"/>
        <v>0</v>
      </c>
      <c r="N37" s="1012"/>
      <c r="O37" s="1012"/>
      <c r="P37" s="764"/>
      <c r="Q37" s="769">
        <f t="shared" si="10"/>
        <v>0</v>
      </c>
      <c r="R37" s="1012"/>
      <c r="S37" s="1012"/>
    </row>
    <row r="38" spans="1:19" ht="18.75" x14ac:dyDescent="0.3">
      <c r="A38" s="968"/>
      <c r="B38" s="971"/>
      <c r="C38" s="971"/>
      <c r="D38" s="1012"/>
      <c r="E38" s="968"/>
      <c r="F38" s="968"/>
      <c r="G38" s="968"/>
      <c r="H38" s="968"/>
      <c r="I38" s="971"/>
      <c r="J38" s="971"/>
      <c r="K38" s="971"/>
      <c r="L38" s="1120">
        <f t="shared" si="9"/>
        <v>0</v>
      </c>
      <c r="N38" s="1012"/>
      <c r="O38" s="1012"/>
      <c r="P38" s="764"/>
      <c r="Q38" s="769">
        <f t="shared" si="10"/>
        <v>0</v>
      </c>
      <c r="R38" s="1012"/>
      <c r="S38" s="1012"/>
    </row>
    <row r="39" spans="1:19" ht="18.75" x14ac:dyDescent="0.3">
      <c r="A39" s="968"/>
      <c r="B39" s="971"/>
      <c r="C39" s="971"/>
      <c r="D39" s="1012"/>
      <c r="E39" s="1136"/>
      <c r="F39" s="1136"/>
      <c r="G39" s="1136"/>
      <c r="H39" s="1136"/>
      <c r="I39" s="1137"/>
      <c r="J39" s="1137"/>
      <c r="K39" s="1137"/>
      <c r="L39" s="968"/>
      <c r="N39" s="1012"/>
      <c r="O39" s="1012"/>
      <c r="P39" s="764"/>
      <c r="Q39" s="769">
        <f t="shared" si="10"/>
        <v>0</v>
      </c>
      <c r="R39" s="1012"/>
      <c r="S39" s="1012"/>
    </row>
    <row r="40" spans="1:19" ht="18.75" customHeight="1" x14ac:dyDescent="0.3">
      <c r="A40" s="1130"/>
      <c r="B40" s="1131"/>
      <c r="C40" s="1131"/>
      <c r="D40" s="988" t="s">
        <v>221</v>
      </c>
      <c r="E40" s="53">
        <f t="shared" ref="E40:K40" si="11">SUM(E29:E39)</f>
        <v>0</v>
      </c>
      <c r="F40" s="53">
        <f t="shared" si="11"/>
        <v>0</v>
      </c>
      <c r="G40" s="53">
        <f t="shared" si="11"/>
        <v>0</v>
      </c>
      <c r="H40" s="53">
        <f t="shared" si="11"/>
        <v>0</v>
      </c>
      <c r="I40" s="53">
        <f t="shared" si="11"/>
        <v>0</v>
      </c>
      <c r="J40" s="53">
        <f t="shared" si="11"/>
        <v>0</v>
      </c>
      <c r="K40" s="53">
        <f t="shared" si="11"/>
        <v>262000</v>
      </c>
      <c r="L40" s="1138">
        <f>SUM(E40:K40)</f>
        <v>262000</v>
      </c>
      <c r="N40" s="1012"/>
      <c r="O40" s="1012"/>
      <c r="P40" s="764"/>
      <c r="Q40" s="769">
        <f t="shared" si="10"/>
        <v>262000</v>
      </c>
      <c r="R40" s="1012"/>
      <c r="S40" s="1012"/>
    </row>
    <row r="41" spans="1:19" ht="18.75" customHeight="1" x14ac:dyDescent="0.3">
      <c r="A41" s="50"/>
      <c r="B41" s="51"/>
      <c r="C41" s="51"/>
      <c r="D41" s="52" t="s">
        <v>222</v>
      </c>
      <c r="E41" s="54">
        <f t="shared" ref="E41:J41" si="12">SUM(E27+E40)</f>
        <v>0</v>
      </c>
      <c r="F41" s="54">
        <f t="shared" si="12"/>
        <v>28000</v>
      </c>
      <c r="G41" s="54">
        <f t="shared" si="12"/>
        <v>7200</v>
      </c>
      <c r="H41" s="54">
        <f t="shared" si="12"/>
        <v>0</v>
      </c>
      <c r="I41" s="54">
        <f t="shared" si="12"/>
        <v>0</v>
      </c>
      <c r="J41" s="54">
        <f t="shared" si="12"/>
        <v>220000</v>
      </c>
      <c r="K41" s="54">
        <f>SUM(K27+K40)</f>
        <v>1578726.97</v>
      </c>
      <c r="L41" s="54">
        <f>SUM(E41:K41)</f>
        <v>1833926.97</v>
      </c>
      <c r="N41" s="1012"/>
      <c r="O41" s="1012"/>
      <c r="P41" s="764"/>
      <c r="Q41" s="769"/>
      <c r="R41" s="1012"/>
      <c r="S41" s="1012"/>
    </row>
    <row r="42" spans="1:19" ht="18.75" customHeight="1" x14ac:dyDescent="0.3">
      <c r="A42" s="57"/>
      <c r="B42" s="58"/>
      <c r="C42" s="58"/>
      <c r="D42" s="59" t="s">
        <v>223</v>
      </c>
      <c r="E42" s="60">
        <f t="shared" ref="E42:K42" si="13">SUM(E28-E40)</f>
        <v>0</v>
      </c>
      <c r="F42" s="60">
        <f t="shared" si="13"/>
        <v>446800</v>
      </c>
      <c r="G42" s="60">
        <f t="shared" si="13"/>
        <v>327800</v>
      </c>
      <c r="H42" s="60">
        <f t="shared" si="13"/>
        <v>25000</v>
      </c>
      <c r="I42" s="60">
        <f t="shared" si="13"/>
        <v>124000</v>
      </c>
      <c r="J42" s="60">
        <f t="shared" si="13"/>
        <v>357300</v>
      </c>
      <c r="K42" s="60">
        <f t="shared" si="13"/>
        <v>29222273.030000001</v>
      </c>
      <c r="L42" s="60">
        <f>SUM(E42:K42)</f>
        <v>30503173.030000001</v>
      </c>
      <c r="N42" s="1012"/>
      <c r="O42" s="1012"/>
      <c r="P42" s="764"/>
      <c r="Q42" s="769"/>
      <c r="R42" s="1012"/>
      <c r="S42" s="1012"/>
    </row>
    <row r="43" spans="1:19" ht="18.75" customHeight="1" x14ac:dyDescent="0.3">
      <c r="A43" s="1127" t="s">
        <v>224</v>
      </c>
      <c r="B43" s="42"/>
      <c r="C43" s="955"/>
      <c r="D43" s="41"/>
      <c r="E43" s="684"/>
      <c r="F43" s="684"/>
      <c r="G43" s="684"/>
      <c r="H43" s="684"/>
      <c r="I43" s="684"/>
      <c r="J43" s="684"/>
      <c r="K43" s="1133"/>
      <c r="L43" s="1185">
        <f>SUM(E43:K43)</f>
        <v>0</v>
      </c>
      <c r="N43" s="1012"/>
      <c r="O43" s="1012"/>
      <c r="P43" s="764"/>
      <c r="Q43" s="769">
        <f t="shared" si="10"/>
        <v>0</v>
      </c>
      <c r="R43" s="1012"/>
      <c r="S43" s="1012"/>
    </row>
    <row r="44" spans="1:19" ht="56.25" x14ac:dyDescent="0.3">
      <c r="A44" s="957">
        <v>45663</v>
      </c>
      <c r="B44" s="1190" t="s">
        <v>1916</v>
      </c>
      <c r="C44" s="1186" t="s">
        <v>1405</v>
      </c>
      <c r="D44" s="1188" t="s">
        <v>1917</v>
      </c>
      <c r="E44" s="1189"/>
      <c r="F44" s="1189"/>
      <c r="G44" s="1189"/>
      <c r="H44" s="1189"/>
      <c r="I44" s="1189"/>
      <c r="J44" s="1189">
        <v>220000</v>
      </c>
      <c r="K44" s="1189"/>
      <c r="L44" s="1120">
        <f t="shared" ref="L44:L50" si="14">SUM(E44:K44)</f>
        <v>220000</v>
      </c>
      <c r="M44" s="326">
        <v>244006</v>
      </c>
      <c r="N44" s="1012" t="s">
        <v>1915</v>
      </c>
      <c r="O44" s="1150">
        <v>53140</v>
      </c>
      <c r="P44" s="764"/>
      <c r="Q44" s="769">
        <f t="shared" si="10"/>
        <v>166860</v>
      </c>
      <c r="R44" s="1012"/>
      <c r="S44" s="1012"/>
    </row>
    <row r="45" spans="1:19" ht="37.5" x14ac:dyDescent="0.3">
      <c r="A45" s="957">
        <v>45664</v>
      </c>
      <c r="B45" s="1190" t="s">
        <v>1927</v>
      </c>
      <c r="C45" s="1186" t="s">
        <v>1385</v>
      </c>
      <c r="D45" s="1188" t="s">
        <v>1926</v>
      </c>
      <c r="E45" s="1189"/>
      <c r="F45" s="1189"/>
      <c r="G45" s="1189">
        <v>63000</v>
      </c>
      <c r="H45" s="1189"/>
      <c r="I45" s="1189"/>
      <c r="J45" s="1189"/>
      <c r="K45" s="1189"/>
      <c r="L45" s="1120">
        <f t="shared" si="14"/>
        <v>63000</v>
      </c>
      <c r="M45" s="326">
        <v>243997</v>
      </c>
      <c r="N45" s="1012" t="s">
        <v>1928</v>
      </c>
      <c r="O45" s="1150">
        <v>13850</v>
      </c>
      <c r="P45" s="764"/>
      <c r="Q45" s="769">
        <f t="shared" si="10"/>
        <v>49150</v>
      </c>
      <c r="R45" s="1012"/>
      <c r="S45" s="1012"/>
    </row>
    <row r="46" spans="1:19" ht="37.5" x14ac:dyDescent="0.3">
      <c r="A46" s="957">
        <v>45665</v>
      </c>
      <c r="B46" s="1190" t="s">
        <v>1930</v>
      </c>
      <c r="C46" s="1186" t="s">
        <v>1284</v>
      </c>
      <c r="D46" s="1188" t="s">
        <v>1929</v>
      </c>
      <c r="E46" s="1189"/>
      <c r="F46" s="1189"/>
      <c r="G46" s="1189"/>
      <c r="H46" s="1189"/>
      <c r="I46" s="1189"/>
      <c r="J46" s="1189"/>
      <c r="K46" s="1189">
        <v>42100</v>
      </c>
      <c r="L46" s="1120">
        <f t="shared" si="14"/>
        <v>42100</v>
      </c>
      <c r="M46" s="326">
        <v>244003</v>
      </c>
      <c r="N46" s="1012" t="s">
        <v>1931</v>
      </c>
      <c r="O46" s="1150">
        <v>6300</v>
      </c>
      <c r="P46" s="764"/>
      <c r="Q46" s="769">
        <f t="shared" si="10"/>
        <v>35800</v>
      </c>
      <c r="R46" s="1012"/>
      <c r="S46" s="1012"/>
    </row>
    <row r="47" spans="1:19" ht="37.5" x14ac:dyDescent="0.3">
      <c r="A47" s="957">
        <v>45670</v>
      </c>
      <c r="B47" s="1190" t="s">
        <v>1947</v>
      </c>
      <c r="C47" s="1186" t="s">
        <v>1405</v>
      </c>
      <c r="D47" s="1188" t="s">
        <v>1946</v>
      </c>
      <c r="E47" s="1189"/>
      <c r="F47" s="1189"/>
      <c r="G47" s="1189"/>
      <c r="H47" s="1189"/>
      <c r="I47" s="1189"/>
      <c r="J47" s="1189">
        <v>12000</v>
      </c>
      <c r="K47" s="1189"/>
      <c r="L47" s="1120">
        <f t="shared" si="14"/>
        <v>12000</v>
      </c>
      <c r="M47" s="326">
        <v>244003</v>
      </c>
      <c r="N47" s="1012" t="s">
        <v>1948</v>
      </c>
      <c r="O47" s="1150">
        <v>4200</v>
      </c>
      <c r="P47" s="764"/>
      <c r="Q47" s="769">
        <f t="shared" si="10"/>
        <v>7800</v>
      </c>
      <c r="R47" s="1012"/>
      <c r="S47" s="1012"/>
    </row>
    <row r="48" spans="1:19" ht="56.25" x14ac:dyDescent="0.3">
      <c r="A48" s="957">
        <v>45680</v>
      </c>
      <c r="B48" s="1190" t="s">
        <v>2003</v>
      </c>
      <c r="C48" s="967" t="s">
        <v>1405</v>
      </c>
      <c r="D48" s="1188" t="s">
        <v>2002</v>
      </c>
      <c r="E48" s="1189"/>
      <c r="F48" s="1189"/>
      <c r="G48" s="1189"/>
      <c r="H48" s="1189"/>
      <c r="I48" s="1189"/>
      <c r="J48" s="1189">
        <v>12000</v>
      </c>
      <c r="K48" s="1189"/>
      <c r="L48" s="1120">
        <f t="shared" si="14"/>
        <v>12000</v>
      </c>
      <c r="N48" s="1012"/>
      <c r="O48" s="1012"/>
      <c r="P48" s="764"/>
      <c r="Q48" s="769">
        <f t="shared" si="10"/>
        <v>12000</v>
      </c>
      <c r="R48" s="1012"/>
      <c r="S48" s="1012"/>
    </row>
    <row r="49" spans="1:19" ht="18.75" x14ac:dyDescent="0.3">
      <c r="A49" s="957"/>
      <c r="B49" s="968"/>
      <c r="C49" s="1186"/>
      <c r="D49" s="971"/>
      <c r="E49" s="1189"/>
      <c r="F49" s="1189"/>
      <c r="G49" s="1189"/>
      <c r="H49" s="1189"/>
      <c r="I49" s="1189"/>
      <c r="J49" s="1189"/>
      <c r="K49" s="1189"/>
      <c r="L49" s="1120">
        <f t="shared" si="14"/>
        <v>0</v>
      </c>
      <c r="N49" s="1012"/>
      <c r="O49" s="1012"/>
      <c r="P49" s="764"/>
      <c r="Q49" s="769">
        <f t="shared" si="10"/>
        <v>0</v>
      </c>
      <c r="R49" s="1012"/>
      <c r="S49" s="1012"/>
    </row>
    <row r="50" spans="1:19" ht="18.75" x14ac:dyDescent="0.3">
      <c r="A50" s="957"/>
      <c r="B50" s="968"/>
      <c r="C50" s="1186"/>
      <c r="D50" s="971"/>
      <c r="E50" s="1172"/>
      <c r="F50" s="1172"/>
      <c r="G50" s="1172"/>
      <c r="H50" s="1189"/>
      <c r="I50" s="1189"/>
      <c r="J50" s="1189"/>
      <c r="K50" s="1189"/>
      <c r="L50" s="1120">
        <f t="shared" si="14"/>
        <v>0</v>
      </c>
      <c r="N50" s="1012"/>
      <c r="O50" s="1012"/>
      <c r="P50" s="764"/>
      <c r="Q50" s="769">
        <f t="shared" si="10"/>
        <v>0</v>
      </c>
      <c r="R50" s="1012"/>
      <c r="S50" s="1012"/>
    </row>
    <row r="51" spans="1:19" ht="18.75" x14ac:dyDescent="0.3">
      <c r="A51" s="1136"/>
      <c r="B51" s="1136"/>
      <c r="C51" s="1191"/>
      <c r="D51" s="1137"/>
      <c r="E51" s="1136"/>
      <c r="F51" s="1136"/>
      <c r="G51" s="1136"/>
      <c r="H51" s="1136"/>
      <c r="I51" s="1136"/>
      <c r="J51" s="1136"/>
      <c r="K51" s="1136"/>
      <c r="L51" s="1136"/>
      <c r="P51" s="765"/>
      <c r="Q51" s="769"/>
    </row>
    <row r="52" spans="1:19" ht="18.75" customHeight="1" x14ac:dyDescent="0.3">
      <c r="A52" s="82"/>
      <c r="B52" s="83"/>
      <c r="C52" s="83"/>
      <c r="D52" s="84" t="s">
        <v>225</v>
      </c>
      <c r="E52" s="53">
        <f t="shared" ref="E52:K52" si="15">SUM(E43:E51)</f>
        <v>0</v>
      </c>
      <c r="F52" s="53">
        <f t="shared" si="15"/>
        <v>0</v>
      </c>
      <c r="G52" s="53">
        <f t="shared" si="15"/>
        <v>63000</v>
      </c>
      <c r="H52" s="53">
        <f t="shared" si="15"/>
        <v>0</v>
      </c>
      <c r="I52" s="53">
        <f t="shared" si="15"/>
        <v>0</v>
      </c>
      <c r="J52" s="53">
        <f t="shared" si="15"/>
        <v>244000</v>
      </c>
      <c r="K52" s="53">
        <f t="shared" si="15"/>
        <v>42100</v>
      </c>
      <c r="L52" s="53">
        <f>SUM(E52:K52)</f>
        <v>349100</v>
      </c>
      <c r="P52" s="765"/>
      <c r="Q52" s="769"/>
    </row>
    <row r="53" spans="1:19" ht="18.75" customHeight="1" x14ac:dyDescent="0.3">
      <c r="A53" s="50"/>
      <c r="B53" s="51"/>
      <c r="C53" s="51"/>
      <c r="D53" s="52" t="s">
        <v>226</v>
      </c>
      <c r="E53" s="54">
        <f t="shared" ref="E53:K53" si="16">SUM(E41+E52)</f>
        <v>0</v>
      </c>
      <c r="F53" s="54">
        <f t="shared" si="16"/>
        <v>28000</v>
      </c>
      <c r="G53" s="54">
        <f t="shared" si="16"/>
        <v>70200</v>
      </c>
      <c r="H53" s="54">
        <f t="shared" si="16"/>
        <v>0</v>
      </c>
      <c r="I53" s="54">
        <f t="shared" si="16"/>
        <v>0</v>
      </c>
      <c r="J53" s="54">
        <f t="shared" si="16"/>
        <v>464000</v>
      </c>
      <c r="K53" s="54">
        <f t="shared" si="16"/>
        <v>1620826.97</v>
      </c>
      <c r="L53" s="54">
        <f>SUM(E53:K53)</f>
        <v>2183026.9699999997</v>
      </c>
      <c r="P53" s="765"/>
      <c r="Q53" s="769"/>
    </row>
    <row r="54" spans="1:19" ht="18.75" customHeight="1" x14ac:dyDescent="0.3">
      <c r="A54" s="57"/>
      <c r="B54" s="58"/>
      <c r="C54" s="58"/>
      <c r="D54" s="59" t="s">
        <v>227</v>
      </c>
      <c r="E54" s="60">
        <f t="shared" ref="E54:K54" si="17">SUM(E42-E52)</f>
        <v>0</v>
      </c>
      <c r="F54" s="60">
        <f t="shared" si="17"/>
        <v>446800</v>
      </c>
      <c r="G54" s="60">
        <f t="shared" si="17"/>
        <v>264800</v>
      </c>
      <c r="H54" s="60">
        <f t="shared" si="17"/>
        <v>25000</v>
      </c>
      <c r="I54" s="60">
        <f t="shared" si="17"/>
        <v>124000</v>
      </c>
      <c r="J54" s="60">
        <f t="shared" si="17"/>
        <v>113300</v>
      </c>
      <c r="K54" s="60">
        <f t="shared" si="17"/>
        <v>29180173.030000001</v>
      </c>
      <c r="L54" s="60">
        <f>SUM(E54:K54)</f>
        <v>30154073.030000001</v>
      </c>
      <c r="P54" s="764"/>
      <c r="Q54" s="769"/>
    </row>
    <row r="55" spans="1:19" ht="18.75" customHeight="1" x14ac:dyDescent="0.3">
      <c r="A55" s="61" t="s">
        <v>228</v>
      </c>
      <c r="B55" s="42"/>
      <c r="C55" s="33"/>
      <c r="D55" s="41"/>
      <c r="E55" s="35"/>
      <c r="F55" s="35"/>
      <c r="G55" s="35"/>
      <c r="H55" s="35"/>
      <c r="I55" s="35"/>
      <c r="J55" s="35"/>
      <c r="K55" s="35"/>
      <c r="L55" s="421">
        <f>SUM(E55:K55)</f>
        <v>0</v>
      </c>
      <c r="P55" s="764"/>
      <c r="Q55" s="769">
        <f>L55-O55-P55</f>
        <v>0</v>
      </c>
    </row>
    <row r="56" spans="1:19" ht="15" customHeight="1" x14ac:dyDescent="0.3">
      <c r="P56" s="764"/>
      <c r="Q56" s="769">
        <f t="shared" ref="Q56:Q74" si="18">L56-O56-P56</f>
        <v>0</v>
      </c>
    </row>
    <row r="57" spans="1:19" ht="15" customHeight="1" x14ac:dyDescent="0.3">
      <c r="P57" s="764"/>
      <c r="Q57" s="769">
        <f t="shared" si="18"/>
        <v>0</v>
      </c>
    </row>
    <row r="58" spans="1:19" ht="15" customHeight="1" x14ac:dyDescent="0.3">
      <c r="P58" s="764"/>
      <c r="Q58" s="769">
        <f t="shared" si="18"/>
        <v>0</v>
      </c>
    </row>
    <row r="59" spans="1:19" ht="15" customHeight="1" x14ac:dyDescent="0.3">
      <c r="P59" s="764"/>
      <c r="Q59" s="769">
        <f t="shared" si="18"/>
        <v>0</v>
      </c>
    </row>
    <row r="60" spans="1:19" ht="15" customHeight="1" x14ac:dyDescent="0.3">
      <c r="P60" s="764"/>
      <c r="Q60" s="769">
        <f t="shared" si="18"/>
        <v>0</v>
      </c>
    </row>
    <row r="61" spans="1:19" ht="15" customHeight="1" x14ac:dyDescent="0.3">
      <c r="P61" s="764"/>
      <c r="Q61" s="769">
        <f t="shared" si="18"/>
        <v>0</v>
      </c>
    </row>
    <row r="62" spans="1:19" ht="15" customHeight="1" x14ac:dyDescent="0.3">
      <c r="P62" s="764"/>
      <c r="Q62" s="769">
        <f t="shared" si="18"/>
        <v>0</v>
      </c>
    </row>
    <row r="63" spans="1:19" ht="15" customHeight="1" x14ac:dyDescent="0.3">
      <c r="P63" s="764"/>
      <c r="Q63" s="769">
        <f t="shared" si="18"/>
        <v>0</v>
      </c>
    </row>
    <row r="64" spans="1:19" ht="15" customHeight="1" x14ac:dyDescent="0.3">
      <c r="P64" s="764"/>
      <c r="Q64" s="769">
        <f t="shared" si="18"/>
        <v>0</v>
      </c>
    </row>
    <row r="65" spans="1:17" ht="18.75" customHeight="1" x14ac:dyDescent="0.3">
      <c r="A65" s="50"/>
      <c r="B65" s="51"/>
      <c r="C65" s="51"/>
      <c r="D65" s="52" t="s">
        <v>229</v>
      </c>
      <c r="E65" s="53">
        <f t="shared" ref="E65:K65" si="19">SUM(E55:E64)</f>
        <v>0</v>
      </c>
      <c r="F65" s="53">
        <f t="shared" si="19"/>
        <v>0</v>
      </c>
      <c r="G65" s="53">
        <f t="shared" si="19"/>
        <v>0</v>
      </c>
      <c r="H65" s="53">
        <f t="shared" si="19"/>
        <v>0</v>
      </c>
      <c r="I65" s="53">
        <f t="shared" si="19"/>
        <v>0</v>
      </c>
      <c r="J65" s="53">
        <f t="shared" si="19"/>
        <v>0</v>
      </c>
      <c r="K65" s="53">
        <f t="shared" si="19"/>
        <v>0</v>
      </c>
      <c r="L65" s="54">
        <f>SUM(E65:K65)</f>
        <v>0</v>
      </c>
      <c r="P65" s="764"/>
      <c r="Q65" s="769">
        <f t="shared" si="18"/>
        <v>0</v>
      </c>
    </row>
    <row r="66" spans="1:17" ht="18.75" customHeight="1" x14ac:dyDescent="0.3">
      <c r="A66" s="50"/>
      <c r="B66" s="51"/>
      <c r="C66" s="51"/>
      <c r="D66" s="52" t="s">
        <v>230</v>
      </c>
      <c r="E66" s="54">
        <f t="shared" ref="E66:K66" si="20">SUM(E53+E65)</f>
        <v>0</v>
      </c>
      <c r="F66" s="54">
        <f t="shared" si="20"/>
        <v>28000</v>
      </c>
      <c r="G66" s="54">
        <f t="shared" si="20"/>
        <v>70200</v>
      </c>
      <c r="H66" s="54">
        <f t="shared" si="20"/>
        <v>0</v>
      </c>
      <c r="I66" s="54">
        <f t="shared" si="20"/>
        <v>0</v>
      </c>
      <c r="J66" s="54">
        <f t="shared" si="20"/>
        <v>464000</v>
      </c>
      <c r="K66" s="54">
        <f t="shared" si="20"/>
        <v>1620826.97</v>
      </c>
      <c r="L66" s="54">
        <f>SUM(E66:K66)</f>
        <v>2183026.9699999997</v>
      </c>
      <c r="P66" s="764"/>
      <c r="Q66" s="769">
        <f t="shared" si="18"/>
        <v>2183026.9699999997</v>
      </c>
    </row>
    <row r="67" spans="1:17" ht="18.75" customHeight="1" x14ac:dyDescent="0.3">
      <c r="A67" s="57"/>
      <c r="B67" s="58"/>
      <c r="C67" s="58"/>
      <c r="D67" s="59" t="s">
        <v>231</v>
      </c>
      <c r="E67" s="60">
        <f t="shared" ref="E67:K67" si="21">SUM(E54-E65)</f>
        <v>0</v>
      </c>
      <c r="F67" s="60">
        <f t="shared" si="21"/>
        <v>446800</v>
      </c>
      <c r="G67" s="60">
        <f t="shared" si="21"/>
        <v>264800</v>
      </c>
      <c r="H67" s="60">
        <f t="shared" si="21"/>
        <v>25000</v>
      </c>
      <c r="I67" s="60">
        <f t="shared" si="21"/>
        <v>124000</v>
      </c>
      <c r="J67" s="60">
        <f t="shared" si="21"/>
        <v>113300</v>
      </c>
      <c r="K67" s="60">
        <f t="shared" si="21"/>
        <v>29180173.030000001</v>
      </c>
      <c r="L67" s="60">
        <f>SUM(E67:K67)</f>
        <v>30154073.030000001</v>
      </c>
      <c r="P67" s="764"/>
      <c r="Q67" s="769">
        <f t="shared" si="18"/>
        <v>30154073.030000001</v>
      </c>
    </row>
    <row r="68" spans="1:17" ht="18.75" customHeight="1" x14ac:dyDescent="0.3">
      <c r="A68" s="61" t="s">
        <v>232</v>
      </c>
      <c r="B68" s="42"/>
      <c r="C68" s="33"/>
      <c r="D68" s="41"/>
      <c r="E68" s="35"/>
      <c r="F68" s="35"/>
      <c r="G68" s="35"/>
      <c r="H68" s="35"/>
      <c r="I68" s="35"/>
      <c r="J68" s="35"/>
      <c r="K68" s="35"/>
      <c r="L68" s="421">
        <f>SUM(E68:K68)</f>
        <v>0</v>
      </c>
      <c r="P68" s="764"/>
      <c r="Q68" s="769">
        <f t="shared" si="18"/>
        <v>0</v>
      </c>
    </row>
    <row r="69" spans="1:17" ht="18.75" customHeight="1" x14ac:dyDescent="0.3">
      <c r="A69" s="98"/>
      <c r="B69" s="99"/>
      <c r="C69" s="100"/>
      <c r="D69" s="101"/>
      <c r="E69" s="35"/>
      <c r="F69" s="35"/>
      <c r="G69" s="35"/>
      <c r="H69" s="35"/>
      <c r="I69" s="35"/>
      <c r="J69" s="35"/>
      <c r="K69" s="35"/>
      <c r="L69" s="421"/>
      <c r="P69" s="764"/>
      <c r="Q69" s="769">
        <f t="shared" si="18"/>
        <v>0</v>
      </c>
    </row>
    <row r="70" spans="1:17" ht="18.75" customHeight="1" x14ac:dyDescent="0.3">
      <c r="A70" s="98"/>
      <c r="B70" s="99"/>
      <c r="C70" s="100"/>
      <c r="D70" s="101"/>
      <c r="E70" s="35"/>
      <c r="F70" s="35"/>
      <c r="G70" s="35"/>
      <c r="H70" s="35"/>
      <c r="I70" s="35"/>
      <c r="J70" s="35"/>
      <c r="K70" s="35"/>
      <c r="L70" s="421"/>
      <c r="P70" s="764"/>
      <c r="Q70" s="769">
        <f t="shared" si="18"/>
        <v>0</v>
      </c>
    </row>
    <row r="71" spans="1:17" ht="18.75" customHeight="1" x14ac:dyDescent="0.3">
      <c r="A71" s="32"/>
      <c r="B71" s="38"/>
      <c r="C71" s="39"/>
      <c r="D71" s="40"/>
      <c r="E71" s="35"/>
      <c r="F71" s="35"/>
      <c r="G71" s="35"/>
      <c r="H71" s="35"/>
      <c r="I71" s="35"/>
      <c r="J71" s="35"/>
      <c r="K71" s="35"/>
      <c r="L71" s="421"/>
      <c r="P71" s="764"/>
      <c r="Q71" s="769">
        <f t="shared" si="18"/>
        <v>0</v>
      </c>
    </row>
    <row r="72" spans="1:17" ht="18.75" customHeight="1" x14ac:dyDescent="0.3">
      <c r="A72" s="32"/>
      <c r="B72" s="65"/>
      <c r="C72" s="33"/>
      <c r="D72" s="34"/>
      <c r="E72" s="35"/>
      <c r="F72" s="35"/>
      <c r="G72" s="35"/>
      <c r="H72" s="35"/>
      <c r="I72" s="35"/>
      <c r="J72" s="35"/>
      <c r="K72" s="35"/>
      <c r="L72" s="421"/>
      <c r="P72" s="764"/>
      <c r="Q72" s="769">
        <f t="shared" si="18"/>
        <v>0</v>
      </c>
    </row>
    <row r="73" spans="1:17" ht="18.75" customHeight="1" x14ac:dyDescent="0.3">
      <c r="A73" s="32"/>
      <c r="B73" s="65"/>
      <c r="C73" s="33"/>
      <c r="D73" s="34"/>
      <c r="E73" s="35"/>
      <c r="F73" s="35"/>
      <c r="G73" s="35"/>
      <c r="H73" s="35"/>
      <c r="I73" s="35"/>
      <c r="J73" s="35"/>
      <c r="K73" s="35"/>
      <c r="L73" s="421"/>
      <c r="P73" s="764"/>
      <c r="Q73" s="769">
        <f t="shared" si="18"/>
        <v>0</v>
      </c>
    </row>
    <row r="74" spans="1:17" ht="18.75" customHeight="1" x14ac:dyDescent="0.3">
      <c r="A74" s="32"/>
      <c r="B74" s="42"/>
      <c r="C74" s="33"/>
      <c r="D74" s="41"/>
      <c r="E74" s="35"/>
      <c r="F74" s="35"/>
      <c r="G74" s="35"/>
      <c r="H74" s="35"/>
      <c r="I74" s="35"/>
      <c r="J74" s="35"/>
      <c r="K74" s="35"/>
      <c r="L74" s="421"/>
      <c r="P74" s="764"/>
      <c r="Q74" s="769">
        <f t="shared" si="18"/>
        <v>0</v>
      </c>
    </row>
    <row r="75" spans="1:17" ht="21.75" customHeight="1" x14ac:dyDescent="0.3">
      <c r="A75" s="44"/>
      <c r="B75" s="45"/>
      <c r="C75" s="46"/>
      <c r="D75" s="47"/>
      <c r="E75" s="48"/>
      <c r="F75" s="48"/>
      <c r="G75" s="48"/>
      <c r="H75" s="48"/>
      <c r="I75" s="48"/>
      <c r="J75" s="48"/>
      <c r="K75" s="48"/>
      <c r="L75" s="422"/>
      <c r="P75" s="765"/>
      <c r="Q75" s="769"/>
    </row>
    <row r="76" spans="1:17" ht="18.75" customHeight="1" x14ac:dyDescent="0.3">
      <c r="A76" s="50"/>
      <c r="B76" s="51"/>
      <c r="C76" s="51"/>
      <c r="D76" s="52" t="s">
        <v>233</v>
      </c>
      <c r="E76" s="53">
        <f t="shared" ref="E76:K76" si="22">SUM(E68:E75)</f>
        <v>0</v>
      </c>
      <c r="F76" s="53">
        <f t="shared" si="22"/>
        <v>0</v>
      </c>
      <c r="G76" s="53">
        <f t="shared" si="22"/>
        <v>0</v>
      </c>
      <c r="H76" s="53">
        <f t="shared" si="22"/>
        <v>0</v>
      </c>
      <c r="I76" s="53">
        <f t="shared" si="22"/>
        <v>0</v>
      </c>
      <c r="J76" s="53">
        <f t="shared" si="22"/>
        <v>0</v>
      </c>
      <c r="K76" s="53">
        <f t="shared" si="22"/>
        <v>0</v>
      </c>
      <c r="L76" s="54">
        <f>SUM(E76:K76)</f>
        <v>0</v>
      </c>
      <c r="P76" s="765"/>
      <c r="Q76" s="769"/>
    </row>
    <row r="77" spans="1:17" ht="18.75" customHeight="1" x14ac:dyDescent="0.3">
      <c r="A77" s="50"/>
      <c r="B77" s="51"/>
      <c r="C77" s="51"/>
      <c r="D77" s="52" t="s">
        <v>234</v>
      </c>
      <c r="E77" s="54">
        <f t="shared" ref="E77:K77" si="23">SUM(E66+E76)</f>
        <v>0</v>
      </c>
      <c r="F77" s="54">
        <f t="shared" si="23"/>
        <v>28000</v>
      </c>
      <c r="G77" s="54">
        <f t="shared" si="23"/>
        <v>70200</v>
      </c>
      <c r="H77" s="54">
        <f t="shared" si="23"/>
        <v>0</v>
      </c>
      <c r="I77" s="54">
        <f t="shared" si="23"/>
        <v>0</v>
      </c>
      <c r="J77" s="54">
        <f t="shared" si="23"/>
        <v>464000</v>
      </c>
      <c r="K77" s="54">
        <f t="shared" si="23"/>
        <v>1620826.97</v>
      </c>
      <c r="L77" s="54">
        <f>SUM(E77:K77)</f>
        <v>2183026.9699999997</v>
      </c>
      <c r="P77" s="765"/>
      <c r="Q77" s="769"/>
    </row>
    <row r="78" spans="1:17" ht="18.75" customHeight="1" x14ac:dyDescent="0.3">
      <c r="A78" s="57"/>
      <c r="B78" s="58"/>
      <c r="C78" s="58"/>
      <c r="D78" s="59" t="s">
        <v>235</v>
      </c>
      <c r="E78" s="60">
        <f t="shared" ref="E78:K78" si="24">SUM(E67-E76)</f>
        <v>0</v>
      </c>
      <c r="F78" s="60">
        <f t="shared" si="24"/>
        <v>446800</v>
      </c>
      <c r="G78" s="60">
        <f t="shared" si="24"/>
        <v>264800</v>
      </c>
      <c r="H78" s="60">
        <f t="shared" si="24"/>
        <v>25000</v>
      </c>
      <c r="I78" s="60">
        <f t="shared" si="24"/>
        <v>124000</v>
      </c>
      <c r="J78" s="60">
        <f t="shared" si="24"/>
        <v>113300</v>
      </c>
      <c r="K78" s="60">
        <f t="shared" si="24"/>
        <v>29180173.030000001</v>
      </c>
      <c r="L78" s="60">
        <f>SUM(E78:K78)</f>
        <v>30154073.030000001</v>
      </c>
      <c r="P78" s="764"/>
      <c r="Q78" s="769">
        <f t="shared" ref="Q78" si="25">L78-O78-P78</f>
        <v>30154073.030000001</v>
      </c>
    </row>
    <row r="79" spans="1:17" ht="18.75" customHeight="1" x14ac:dyDescent="0.3">
      <c r="A79" s="61" t="s">
        <v>236</v>
      </c>
      <c r="B79" s="42"/>
      <c r="C79" s="33"/>
      <c r="D79" s="41"/>
      <c r="E79" s="35"/>
      <c r="F79" s="35"/>
      <c r="G79" s="35"/>
      <c r="H79" s="35"/>
      <c r="I79" s="35"/>
      <c r="J79" s="35"/>
      <c r="K79" s="35"/>
      <c r="L79" s="421">
        <f>SUM(E79:K79)</f>
        <v>0</v>
      </c>
      <c r="P79" s="764"/>
      <c r="Q79" s="769">
        <f>L79-O79-P79</f>
        <v>0</v>
      </c>
    </row>
    <row r="80" spans="1:17" ht="15" customHeight="1" x14ac:dyDescent="0.3">
      <c r="P80" s="764"/>
      <c r="Q80" s="769">
        <f t="shared" ref="Q80:Q98" si="26">L80-O80-P80</f>
        <v>0</v>
      </c>
    </row>
    <row r="81" spans="1:18" ht="15" customHeight="1" x14ac:dyDescent="0.3">
      <c r="P81" s="764"/>
      <c r="Q81" s="769">
        <f t="shared" si="26"/>
        <v>0</v>
      </c>
    </row>
    <row r="82" spans="1:18" ht="15" customHeight="1" x14ac:dyDescent="0.3">
      <c r="P82" s="764"/>
      <c r="Q82" s="769">
        <f t="shared" si="26"/>
        <v>0</v>
      </c>
    </row>
    <row r="83" spans="1:18" ht="15" customHeight="1" x14ac:dyDescent="0.3">
      <c r="P83" s="764"/>
      <c r="Q83" s="769">
        <f t="shared" si="26"/>
        <v>0</v>
      </c>
    </row>
    <row r="84" spans="1:18" ht="15" customHeight="1" x14ac:dyDescent="0.3">
      <c r="P84" s="764"/>
      <c r="Q84" s="769">
        <f t="shared" si="26"/>
        <v>0</v>
      </c>
    </row>
    <row r="85" spans="1:18" ht="18.75" customHeight="1" x14ac:dyDescent="0.3">
      <c r="A85" s="50"/>
      <c r="B85" s="51"/>
      <c r="C85" s="51"/>
      <c r="D85" s="52" t="s">
        <v>237</v>
      </c>
      <c r="E85" s="53">
        <f t="shared" ref="E85:K85" si="27">SUM(E79:E84)</f>
        <v>0</v>
      </c>
      <c r="F85" s="53">
        <f t="shared" si="27"/>
        <v>0</v>
      </c>
      <c r="G85" s="53">
        <f t="shared" si="27"/>
        <v>0</v>
      </c>
      <c r="H85" s="53">
        <f t="shared" si="27"/>
        <v>0</v>
      </c>
      <c r="I85" s="53">
        <f t="shared" si="27"/>
        <v>0</v>
      </c>
      <c r="J85" s="53">
        <f t="shared" si="27"/>
        <v>0</v>
      </c>
      <c r="K85" s="53">
        <f t="shared" si="27"/>
        <v>0</v>
      </c>
      <c r="L85" s="54">
        <f t="shared" ref="L85:L88" si="28">SUM(E85:K85)</f>
        <v>0</v>
      </c>
      <c r="M85" s="1157"/>
      <c r="N85" s="56"/>
      <c r="O85" s="55"/>
      <c r="P85" s="764"/>
      <c r="Q85" s="769">
        <f t="shared" si="26"/>
        <v>0</v>
      </c>
      <c r="R85" s="55"/>
    </row>
    <row r="86" spans="1:18" ht="18.75" customHeight="1" x14ac:dyDescent="0.3">
      <c r="A86" s="50"/>
      <c r="B86" s="51"/>
      <c r="C86" s="51"/>
      <c r="D86" s="52" t="s">
        <v>238</v>
      </c>
      <c r="E86" s="54">
        <f t="shared" ref="E86:K86" si="29">SUM(E77+E85)</f>
        <v>0</v>
      </c>
      <c r="F86" s="54">
        <f t="shared" si="29"/>
        <v>28000</v>
      </c>
      <c r="G86" s="54">
        <f t="shared" si="29"/>
        <v>70200</v>
      </c>
      <c r="H86" s="54">
        <f t="shared" si="29"/>
        <v>0</v>
      </c>
      <c r="I86" s="54">
        <f t="shared" si="29"/>
        <v>0</v>
      </c>
      <c r="J86" s="54">
        <f t="shared" si="29"/>
        <v>464000</v>
      </c>
      <c r="K86" s="54">
        <f t="shared" si="29"/>
        <v>1620826.97</v>
      </c>
      <c r="L86" s="54">
        <f t="shared" si="28"/>
        <v>2183026.9699999997</v>
      </c>
      <c r="M86" s="1157"/>
      <c r="N86" s="56"/>
      <c r="O86" s="55"/>
      <c r="P86" s="764"/>
      <c r="Q86" s="769">
        <f t="shared" si="26"/>
        <v>2183026.9699999997</v>
      </c>
      <c r="R86" s="55"/>
    </row>
    <row r="87" spans="1:18" ht="18.75" customHeight="1" x14ac:dyDescent="0.3">
      <c r="A87" s="57"/>
      <c r="B87" s="58"/>
      <c r="C87" s="58"/>
      <c r="D87" s="59" t="s">
        <v>239</v>
      </c>
      <c r="E87" s="60">
        <f>SUM(E78-E85)+1286000</f>
        <v>1286000</v>
      </c>
      <c r="F87" s="60">
        <f>SUM(F78-F85)+950000</f>
        <v>1396800</v>
      </c>
      <c r="G87" s="60">
        <f>SUM(G78-G85)+500000</f>
        <v>764800</v>
      </c>
      <c r="H87" s="60">
        <f>SUM(H78-H85)+500000</f>
        <v>525000</v>
      </c>
      <c r="I87" s="60">
        <f>SUM(I78-I85)+300000</f>
        <v>424000</v>
      </c>
      <c r="J87" s="60">
        <f>SUM(J78-J85)+1712200</f>
        <v>1825500</v>
      </c>
      <c r="K87" s="60">
        <f>SUM(K78-K85)+17120000</f>
        <v>46300173.030000001</v>
      </c>
      <c r="L87" s="60">
        <f t="shared" si="28"/>
        <v>52522273.030000001</v>
      </c>
      <c r="M87" s="1157"/>
      <c r="N87" s="56"/>
      <c r="O87" s="55"/>
      <c r="P87" s="764"/>
      <c r="Q87" s="769">
        <f t="shared" si="26"/>
        <v>52522273.030000001</v>
      </c>
      <c r="R87" s="55"/>
    </row>
    <row r="88" spans="1:18" ht="18.75" customHeight="1" thickBot="1" x14ac:dyDescent="0.35">
      <c r="A88" s="61" t="s">
        <v>240</v>
      </c>
      <c r="B88" s="42"/>
      <c r="C88" s="33"/>
      <c r="D88" s="41"/>
      <c r="E88" s="35"/>
      <c r="F88" s="35"/>
      <c r="G88" s="35"/>
      <c r="H88" s="35"/>
      <c r="I88" s="35"/>
      <c r="J88" s="35"/>
      <c r="K88" s="35"/>
      <c r="L88" s="421">
        <f t="shared" si="28"/>
        <v>0</v>
      </c>
      <c r="M88" s="1155"/>
      <c r="N88" s="41"/>
      <c r="O88" s="37"/>
      <c r="P88" s="764"/>
      <c r="Q88" s="769">
        <f t="shared" si="26"/>
        <v>0</v>
      </c>
      <c r="R88" s="37"/>
    </row>
    <row r="89" spans="1:18" ht="18.75" customHeight="1" thickBot="1" x14ac:dyDescent="0.35">
      <c r="A89" s="32"/>
      <c r="B89" s="86"/>
      <c r="C89" s="33"/>
      <c r="D89" s="34"/>
      <c r="E89" s="35"/>
      <c r="F89" s="35"/>
      <c r="G89" s="35"/>
      <c r="H89" s="35"/>
      <c r="I89" s="423"/>
      <c r="J89" s="35"/>
      <c r="K89" s="35"/>
      <c r="L89" s="421"/>
      <c r="M89" s="1158"/>
      <c r="N89" s="424"/>
      <c r="O89" s="425"/>
      <c r="P89" s="764"/>
      <c r="Q89" s="769">
        <f t="shared" si="26"/>
        <v>0</v>
      </c>
      <c r="R89" s="37"/>
    </row>
    <row r="90" spans="1:18" ht="18.75" customHeight="1" thickBot="1" x14ac:dyDescent="0.35">
      <c r="A90" s="32"/>
      <c r="B90" s="86"/>
      <c r="C90" s="33"/>
      <c r="D90" s="34"/>
      <c r="E90" s="35"/>
      <c r="F90" s="423"/>
      <c r="G90" s="35"/>
      <c r="H90" s="35"/>
      <c r="I90" s="35"/>
      <c r="J90" s="35"/>
      <c r="K90" s="35"/>
      <c r="L90" s="421"/>
      <c r="M90" s="1158"/>
      <c r="N90" s="34"/>
      <c r="O90" s="37"/>
      <c r="P90" s="764"/>
      <c r="Q90" s="769">
        <f t="shared" si="26"/>
        <v>0</v>
      </c>
      <c r="R90" s="37"/>
    </row>
    <row r="91" spans="1:18" ht="44.25" customHeight="1" thickBot="1" x14ac:dyDescent="0.35">
      <c r="A91" s="32"/>
      <c r="B91" s="86"/>
      <c r="C91" s="33"/>
      <c r="D91" s="41"/>
      <c r="E91" s="35"/>
      <c r="F91" s="35"/>
      <c r="G91" s="35"/>
      <c r="H91" s="35"/>
      <c r="I91" s="423"/>
      <c r="J91" s="35"/>
      <c r="K91" s="35"/>
      <c r="L91" s="421"/>
      <c r="M91" s="1154"/>
      <c r="N91" s="34"/>
      <c r="O91" s="37"/>
      <c r="P91" s="764"/>
      <c r="Q91" s="769">
        <f t="shared" si="26"/>
        <v>0</v>
      </c>
      <c r="R91" s="426"/>
    </row>
    <row r="92" spans="1:18" ht="18.75" customHeight="1" thickBot="1" x14ac:dyDescent="0.35">
      <c r="A92" s="32"/>
      <c r="B92" s="86"/>
      <c r="C92" s="33"/>
      <c r="D92" s="41"/>
      <c r="E92" s="35"/>
      <c r="F92" s="423"/>
      <c r="G92" s="35"/>
      <c r="H92" s="35"/>
      <c r="I92" s="35"/>
      <c r="J92" s="35"/>
      <c r="K92" s="35"/>
      <c r="L92" s="421"/>
      <c r="M92" s="1158"/>
      <c r="N92" s="41"/>
      <c r="O92" s="37"/>
      <c r="P92" s="764"/>
      <c r="Q92" s="769">
        <f t="shared" si="26"/>
        <v>0</v>
      </c>
      <c r="R92" s="37"/>
    </row>
    <row r="93" spans="1:18" ht="18.75" customHeight="1" x14ac:dyDescent="0.3">
      <c r="A93" s="32"/>
      <c r="B93" s="86"/>
      <c r="C93" s="33"/>
      <c r="D93" s="41"/>
      <c r="E93" s="35"/>
      <c r="F93" s="423"/>
      <c r="G93" s="35"/>
      <c r="H93" s="35"/>
      <c r="I93" s="35"/>
      <c r="J93" s="35"/>
      <c r="K93" s="35"/>
      <c r="L93" s="421"/>
      <c r="M93" s="1159"/>
      <c r="N93" s="41"/>
      <c r="O93" s="37"/>
      <c r="P93" s="764"/>
      <c r="Q93" s="769">
        <f t="shared" si="26"/>
        <v>0</v>
      </c>
      <c r="R93" s="37"/>
    </row>
    <row r="94" spans="1:18" ht="18.75" customHeight="1" x14ac:dyDescent="0.3">
      <c r="A94" s="32"/>
      <c r="B94" s="42"/>
      <c r="C94" s="33"/>
      <c r="D94" s="69"/>
      <c r="E94" s="35"/>
      <c r="F94" s="35"/>
      <c r="G94" s="35"/>
      <c r="H94" s="35"/>
      <c r="I94" s="35"/>
      <c r="J94" s="35"/>
      <c r="K94" s="35"/>
      <c r="L94" s="421"/>
      <c r="M94" s="1156"/>
      <c r="N94" s="41"/>
      <c r="O94" s="37"/>
      <c r="P94" s="764"/>
      <c r="Q94" s="769">
        <f t="shared" si="26"/>
        <v>0</v>
      </c>
      <c r="R94" s="37"/>
    </row>
    <row r="95" spans="1:18" ht="15" customHeight="1" x14ac:dyDescent="0.3">
      <c r="P95" s="764"/>
      <c r="Q95" s="769">
        <f t="shared" si="26"/>
        <v>0</v>
      </c>
    </row>
    <row r="96" spans="1:18" ht="15" customHeight="1" x14ac:dyDescent="0.3">
      <c r="P96" s="764"/>
      <c r="Q96" s="769">
        <f t="shared" si="26"/>
        <v>0</v>
      </c>
    </row>
    <row r="97" spans="1:18" ht="15" customHeight="1" x14ac:dyDescent="0.3">
      <c r="P97" s="764"/>
      <c r="Q97" s="769">
        <f t="shared" si="26"/>
        <v>0</v>
      </c>
    </row>
    <row r="98" spans="1:18" ht="15" customHeight="1" x14ac:dyDescent="0.3">
      <c r="P98" s="764"/>
      <c r="Q98" s="769">
        <f t="shared" si="26"/>
        <v>0</v>
      </c>
    </row>
    <row r="99" spans="1:18" ht="15" customHeight="1" x14ac:dyDescent="0.3">
      <c r="P99" s="765"/>
      <c r="Q99" s="769"/>
    </row>
    <row r="100" spans="1:18" ht="18.75" customHeight="1" x14ac:dyDescent="0.3">
      <c r="A100" s="50"/>
      <c r="B100" s="51"/>
      <c r="C100" s="51"/>
      <c r="D100" s="52" t="s">
        <v>241</v>
      </c>
      <c r="E100" s="53">
        <f t="shared" ref="E100:K100" si="30">SUM(E88:E99)</f>
        <v>0</v>
      </c>
      <c r="F100" s="53">
        <f t="shared" si="30"/>
        <v>0</v>
      </c>
      <c r="G100" s="53">
        <f t="shared" si="30"/>
        <v>0</v>
      </c>
      <c r="H100" s="53">
        <f t="shared" si="30"/>
        <v>0</v>
      </c>
      <c r="I100" s="53">
        <f t="shared" si="30"/>
        <v>0</v>
      </c>
      <c r="J100" s="53">
        <f t="shared" si="30"/>
        <v>0</v>
      </c>
      <c r="K100" s="53">
        <f t="shared" si="30"/>
        <v>0</v>
      </c>
      <c r="L100" s="54">
        <f t="shared" ref="L100:L104" si="31">SUM(E100:K100)</f>
        <v>0</v>
      </c>
      <c r="M100" s="1157"/>
      <c r="N100" s="56"/>
      <c r="O100" s="55"/>
      <c r="P100" s="765"/>
      <c r="Q100" s="769"/>
      <c r="R100" s="55"/>
    </row>
    <row r="101" spans="1:18" ht="18.75" customHeight="1" x14ac:dyDescent="0.3">
      <c r="A101" s="50"/>
      <c r="B101" s="51"/>
      <c r="C101" s="51"/>
      <c r="D101" s="52" t="s">
        <v>242</v>
      </c>
      <c r="E101" s="54">
        <f t="shared" ref="E101:K101" si="32">SUM(E86+E100)</f>
        <v>0</v>
      </c>
      <c r="F101" s="54">
        <f t="shared" si="32"/>
        <v>28000</v>
      </c>
      <c r="G101" s="54">
        <f t="shared" si="32"/>
        <v>70200</v>
      </c>
      <c r="H101" s="54">
        <f t="shared" si="32"/>
        <v>0</v>
      </c>
      <c r="I101" s="54">
        <f t="shared" si="32"/>
        <v>0</v>
      </c>
      <c r="J101" s="54">
        <f t="shared" si="32"/>
        <v>464000</v>
      </c>
      <c r="K101" s="54">
        <f t="shared" si="32"/>
        <v>1620826.97</v>
      </c>
      <c r="L101" s="54">
        <f t="shared" si="31"/>
        <v>2183026.9699999997</v>
      </c>
      <c r="M101" s="1157"/>
      <c r="N101" s="56"/>
      <c r="O101" s="55"/>
      <c r="P101" s="765"/>
      <c r="Q101" s="769"/>
      <c r="R101" s="55"/>
    </row>
    <row r="102" spans="1:18" ht="18.75" customHeight="1" x14ac:dyDescent="0.3">
      <c r="A102" s="57"/>
      <c r="B102" s="58"/>
      <c r="C102" s="58"/>
      <c r="D102" s="59" t="s">
        <v>243</v>
      </c>
      <c r="E102" s="60">
        <f t="shared" ref="E102:K102" si="33">SUM(E87-E100)</f>
        <v>1286000</v>
      </c>
      <c r="F102" s="60">
        <f t="shared" si="33"/>
        <v>1396800</v>
      </c>
      <c r="G102" s="60">
        <f t="shared" si="33"/>
        <v>764800</v>
      </c>
      <c r="H102" s="60">
        <f t="shared" si="33"/>
        <v>525000</v>
      </c>
      <c r="I102" s="60">
        <f t="shared" si="33"/>
        <v>424000</v>
      </c>
      <c r="J102" s="60">
        <f t="shared" si="33"/>
        <v>1825500</v>
      </c>
      <c r="K102" s="60">
        <f t="shared" si="33"/>
        <v>46300173.030000001</v>
      </c>
      <c r="L102" s="60">
        <f t="shared" si="31"/>
        <v>52522273.030000001</v>
      </c>
      <c r="M102" s="1157"/>
      <c r="N102" s="56"/>
      <c r="O102" s="55"/>
      <c r="P102" s="764"/>
      <c r="Q102" s="769">
        <f>L102-O102-P102</f>
        <v>52522273.030000001</v>
      </c>
      <c r="R102" s="55"/>
    </row>
    <row r="103" spans="1:18" ht="18.75" customHeight="1" thickBot="1" x14ac:dyDescent="0.35">
      <c r="A103" s="61" t="s">
        <v>244</v>
      </c>
      <c r="B103" s="42"/>
      <c r="C103" s="33"/>
      <c r="D103" s="41"/>
      <c r="E103" s="35"/>
      <c r="F103" s="35"/>
      <c r="G103" s="35"/>
      <c r="H103" s="35"/>
      <c r="I103" s="35"/>
      <c r="J103" s="35"/>
      <c r="K103" s="35"/>
      <c r="L103" s="421">
        <f t="shared" si="31"/>
        <v>0</v>
      </c>
      <c r="M103" s="1155"/>
      <c r="N103" s="41"/>
      <c r="O103" s="37"/>
      <c r="P103" s="764"/>
      <c r="Q103" s="769">
        <f>L103-O103-P103</f>
        <v>0</v>
      </c>
      <c r="R103" s="37"/>
    </row>
    <row r="104" spans="1:18" ht="18.75" customHeight="1" thickBot="1" x14ac:dyDescent="0.35">
      <c r="A104" s="427"/>
      <c r="B104" s="427"/>
      <c r="C104" s="428"/>
      <c r="D104" s="429"/>
      <c r="E104" s="430"/>
      <c r="F104" s="430"/>
      <c r="G104" s="431"/>
      <c r="H104" s="430"/>
      <c r="I104" s="430"/>
      <c r="J104" s="430"/>
      <c r="K104" s="430"/>
      <c r="L104" s="421">
        <f t="shared" si="31"/>
        <v>0</v>
      </c>
      <c r="M104" s="1160"/>
      <c r="N104" s="432"/>
      <c r="O104" s="430"/>
      <c r="P104" s="764"/>
      <c r="Q104" s="769">
        <f t="shared" ref="Q104:Q122" si="34">L104-O104-P104</f>
        <v>0</v>
      </c>
      <c r="R104" s="430"/>
    </row>
    <row r="105" spans="1:18" ht="19.5" thickBot="1" x14ac:dyDescent="0.35">
      <c r="A105" s="433"/>
      <c r="B105" s="427"/>
      <c r="C105" s="428"/>
      <c r="D105" s="434"/>
      <c r="E105" s="430"/>
      <c r="F105" s="435"/>
      <c r="G105" s="436"/>
      <c r="H105" s="430"/>
      <c r="I105" s="430"/>
      <c r="J105" s="430"/>
      <c r="K105" s="430"/>
      <c r="L105" s="421"/>
      <c r="M105" s="437"/>
      <c r="N105" s="430"/>
      <c r="O105" s="435"/>
      <c r="P105" s="764"/>
      <c r="Q105" s="769">
        <f t="shared" si="34"/>
        <v>0</v>
      </c>
      <c r="R105" s="430"/>
    </row>
    <row r="106" spans="1:18" ht="40.5" customHeight="1" thickBot="1" x14ac:dyDescent="0.35">
      <c r="A106" s="433"/>
      <c r="B106" s="427"/>
      <c r="C106" s="428"/>
      <c r="D106" s="434"/>
      <c r="E106" s="430"/>
      <c r="F106" s="430"/>
      <c r="G106" s="435"/>
      <c r="H106" s="430"/>
      <c r="I106" s="436"/>
      <c r="J106" s="430"/>
      <c r="K106" s="430"/>
      <c r="L106" s="421"/>
      <c r="M106" s="1161"/>
      <c r="N106" s="438"/>
      <c r="O106" s="435"/>
      <c r="P106" s="764"/>
      <c r="Q106" s="769">
        <f t="shared" si="34"/>
        <v>0</v>
      </c>
      <c r="R106" s="430"/>
    </row>
    <row r="107" spans="1:18" ht="53.25" customHeight="1" thickBot="1" x14ac:dyDescent="0.35">
      <c r="A107" s="439"/>
      <c r="B107" s="427"/>
      <c r="C107" s="428"/>
      <c r="D107" s="434"/>
      <c r="E107" s="430"/>
      <c r="F107" s="430"/>
      <c r="G107" s="430"/>
      <c r="H107" s="430"/>
      <c r="I107" s="430"/>
      <c r="J107" s="435"/>
      <c r="K107" s="430"/>
      <c r="L107" s="421"/>
      <c r="M107" s="1160"/>
      <c r="N107" s="432"/>
      <c r="O107" s="430"/>
      <c r="P107" s="764"/>
      <c r="Q107" s="769">
        <f t="shared" si="34"/>
        <v>0</v>
      </c>
      <c r="R107" s="430"/>
    </row>
    <row r="108" spans="1:18" ht="18.75" customHeight="1" thickBot="1" x14ac:dyDescent="0.35">
      <c r="A108" s="439"/>
      <c r="B108" s="427"/>
      <c r="C108" s="428"/>
      <c r="D108" s="434"/>
      <c r="E108" s="430"/>
      <c r="F108" s="430"/>
      <c r="G108" s="430"/>
      <c r="H108" s="430"/>
      <c r="I108" s="435"/>
      <c r="J108" s="430"/>
      <c r="K108" s="430"/>
      <c r="L108" s="421"/>
      <c r="M108" s="1160"/>
      <c r="N108" s="432"/>
      <c r="O108" s="430"/>
      <c r="P108" s="764"/>
      <c r="Q108" s="769">
        <f t="shared" si="34"/>
        <v>0</v>
      </c>
      <c r="R108" s="430"/>
    </row>
    <row r="109" spans="1:18" ht="18.75" customHeight="1" thickBot="1" x14ac:dyDescent="0.35">
      <c r="A109" s="427"/>
      <c r="B109" s="427"/>
      <c r="C109" s="428"/>
      <c r="D109" s="429"/>
      <c r="E109" s="430"/>
      <c r="F109" s="430"/>
      <c r="G109" s="431"/>
      <c r="H109" s="430"/>
      <c r="I109" s="430"/>
      <c r="J109" s="430"/>
      <c r="K109" s="430"/>
      <c r="L109" s="421"/>
      <c r="M109" s="1160"/>
      <c r="N109" s="432"/>
      <c r="O109" s="430"/>
      <c r="P109" s="764"/>
      <c r="Q109" s="769">
        <f t="shared" si="34"/>
        <v>0</v>
      </c>
      <c r="R109" s="430"/>
    </row>
    <row r="110" spans="1:18" ht="19.5" thickBot="1" x14ac:dyDescent="0.35">
      <c r="A110" s="440"/>
      <c r="B110" s="427"/>
      <c r="C110" s="428"/>
      <c r="D110" s="432"/>
      <c r="E110" s="430"/>
      <c r="F110" s="430"/>
      <c r="G110" s="430"/>
      <c r="H110" s="441"/>
      <c r="I110" s="430"/>
      <c r="J110" s="430"/>
      <c r="K110" s="430"/>
      <c r="L110" s="421"/>
      <c r="M110" s="1160"/>
      <c r="N110" s="432"/>
      <c r="O110" s="430"/>
      <c r="P110" s="764"/>
      <c r="Q110" s="769">
        <f t="shared" si="34"/>
        <v>0</v>
      </c>
      <c r="R110" s="430"/>
    </row>
    <row r="111" spans="1:18" ht="18.75" customHeight="1" thickBot="1" x14ac:dyDescent="0.35">
      <c r="A111" s="433"/>
      <c r="B111" s="439"/>
      <c r="C111" s="442"/>
      <c r="D111" s="443"/>
      <c r="E111" s="430"/>
      <c r="F111" s="430"/>
      <c r="G111" s="430"/>
      <c r="H111" s="430"/>
      <c r="I111" s="430"/>
      <c r="J111" s="430"/>
      <c r="K111" s="430"/>
      <c r="L111" s="421"/>
      <c r="M111" s="1160"/>
      <c r="N111" s="432"/>
      <c r="O111" s="430"/>
      <c r="P111" s="764"/>
      <c r="Q111" s="769">
        <f t="shared" si="34"/>
        <v>0</v>
      </c>
      <c r="R111" s="430"/>
    </row>
    <row r="112" spans="1:18" ht="18.75" customHeight="1" thickBot="1" x14ac:dyDescent="0.35">
      <c r="A112" s="433"/>
      <c r="B112" s="439"/>
      <c r="C112" s="442"/>
      <c r="D112" s="443"/>
      <c r="E112" s="430"/>
      <c r="F112" s="430"/>
      <c r="G112" s="430"/>
      <c r="H112" s="430"/>
      <c r="I112" s="430"/>
      <c r="J112" s="430"/>
      <c r="K112" s="441"/>
      <c r="L112" s="421"/>
      <c r="M112" s="1160"/>
      <c r="N112" s="432"/>
      <c r="O112" s="441"/>
      <c r="P112" s="764"/>
      <c r="Q112" s="769">
        <f t="shared" si="34"/>
        <v>0</v>
      </c>
      <c r="R112" s="430"/>
    </row>
    <row r="113" spans="1:17" ht="18.75" customHeight="1" x14ac:dyDescent="0.3">
      <c r="A113" s="32"/>
      <c r="B113" s="171"/>
      <c r="C113" s="444"/>
      <c r="D113" s="65"/>
      <c r="E113" s="445"/>
      <c r="F113" s="446"/>
      <c r="G113" s="446"/>
      <c r="H113" s="446"/>
      <c r="I113" s="446"/>
      <c r="J113" s="446"/>
      <c r="K113" s="446"/>
      <c r="L113" s="421"/>
      <c r="M113" s="1159"/>
      <c r="N113" s="41"/>
      <c r="O113" s="37"/>
      <c r="P113" s="764"/>
      <c r="Q113" s="769">
        <f t="shared" si="34"/>
        <v>0</v>
      </c>
    </row>
    <row r="114" spans="1:17" ht="18.75" customHeight="1" x14ac:dyDescent="0.3">
      <c r="A114" s="32"/>
      <c r="B114" s="171"/>
      <c r="C114" s="444"/>
      <c r="D114" s="65"/>
      <c r="E114" s="35"/>
      <c r="F114" s="35"/>
      <c r="G114" s="35"/>
      <c r="H114" s="35"/>
      <c r="I114" s="35"/>
      <c r="J114" s="35"/>
      <c r="K114" s="35"/>
      <c r="L114" s="421"/>
      <c r="M114" s="1159"/>
      <c r="N114" s="41"/>
      <c r="O114" s="37"/>
      <c r="P114" s="764"/>
      <c r="Q114" s="769">
        <f t="shared" si="34"/>
        <v>0</v>
      </c>
    </row>
    <row r="115" spans="1:17" ht="15" customHeight="1" x14ac:dyDescent="0.3">
      <c r="P115" s="764"/>
      <c r="Q115" s="769">
        <f t="shared" si="34"/>
        <v>0</v>
      </c>
    </row>
    <row r="116" spans="1:17" ht="15" customHeight="1" x14ac:dyDescent="0.3">
      <c r="P116" s="764"/>
      <c r="Q116" s="769">
        <f t="shared" si="34"/>
        <v>0</v>
      </c>
    </row>
    <row r="117" spans="1:17" ht="15" customHeight="1" x14ac:dyDescent="0.3">
      <c r="P117" s="764"/>
      <c r="Q117" s="769">
        <f t="shared" si="34"/>
        <v>0</v>
      </c>
    </row>
    <row r="118" spans="1:17" ht="15" customHeight="1" x14ac:dyDescent="0.3">
      <c r="P118" s="764"/>
      <c r="Q118" s="769">
        <f t="shared" si="34"/>
        <v>0</v>
      </c>
    </row>
    <row r="119" spans="1:17" ht="15" customHeight="1" x14ac:dyDescent="0.3">
      <c r="P119" s="764"/>
      <c r="Q119" s="769">
        <f t="shared" si="34"/>
        <v>0</v>
      </c>
    </row>
    <row r="120" spans="1:17" ht="15" customHeight="1" x14ac:dyDescent="0.3">
      <c r="P120" s="764"/>
      <c r="Q120" s="769">
        <f t="shared" si="34"/>
        <v>0</v>
      </c>
    </row>
    <row r="121" spans="1:17" ht="15" customHeight="1" x14ac:dyDescent="0.3">
      <c r="P121" s="764"/>
      <c r="Q121" s="769">
        <f t="shared" si="34"/>
        <v>0</v>
      </c>
    </row>
    <row r="122" spans="1:17" ht="15" customHeight="1" x14ac:dyDescent="0.3">
      <c r="P122" s="764"/>
      <c r="Q122" s="769">
        <f t="shared" si="34"/>
        <v>0</v>
      </c>
    </row>
    <row r="123" spans="1:17" ht="15" customHeight="1" x14ac:dyDescent="0.3">
      <c r="P123" s="765"/>
      <c r="Q123" s="769"/>
    </row>
    <row r="124" spans="1:17" ht="15" customHeight="1" x14ac:dyDescent="0.3">
      <c r="P124" s="765"/>
      <c r="Q124" s="769"/>
    </row>
    <row r="125" spans="1:17" ht="15" customHeight="1" x14ac:dyDescent="0.3">
      <c r="P125" s="765"/>
      <c r="Q125" s="769"/>
    </row>
    <row r="126" spans="1:17" ht="15" customHeight="1" x14ac:dyDescent="0.3">
      <c r="P126" s="764"/>
      <c r="Q126" s="769"/>
    </row>
    <row r="127" spans="1:17" ht="15" customHeight="1" x14ac:dyDescent="0.3">
      <c r="P127" s="764"/>
      <c r="Q127" s="769">
        <f>L127-O127-P127</f>
        <v>0</v>
      </c>
    </row>
    <row r="128" spans="1:17" ht="15" customHeight="1" x14ac:dyDescent="0.3">
      <c r="P128" s="764"/>
      <c r="Q128" s="769">
        <f t="shared" ref="Q128:Q146" si="35">L128-O128-P128</f>
        <v>0</v>
      </c>
    </row>
    <row r="129" spans="1:18" ht="15" customHeight="1" x14ac:dyDescent="0.3">
      <c r="P129" s="764"/>
      <c r="Q129" s="769">
        <f t="shared" si="35"/>
        <v>0</v>
      </c>
    </row>
    <row r="130" spans="1:18" ht="18.75" customHeight="1" x14ac:dyDescent="0.3">
      <c r="A130" s="50"/>
      <c r="B130" s="51"/>
      <c r="C130" s="51"/>
      <c r="D130" s="52" t="s">
        <v>245</v>
      </c>
      <c r="E130" s="53">
        <f t="shared" ref="E130:K130" si="36">SUM(E103:E129)</f>
        <v>0</v>
      </c>
      <c r="F130" s="53">
        <f t="shared" si="36"/>
        <v>0</v>
      </c>
      <c r="G130" s="53">
        <f t="shared" si="36"/>
        <v>0</v>
      </c>
      <c r="H130" s="53">
        <f t="shared" si="36"/>
        <v>0</v>
      </c>
      <c r="I130" s="53">
        <f t="shared" si="36"/>
        <v>0</v>
      </c>
      <c r="J130" s="53">
        <f t="shared" si="36"/>
        <v>0</v>
      </c>
      <c r="K130" s="53">
        <f t="shared" si="36"/>
        <v>0</v>
      </c>
      <c r="L130" s="54">
        <f t="shared" ref="L130:L156" si="37">SUM(E130:K130)</f>
        <v>0</v>
      </c>
      <c r="M130" s="1157"/>
      <c r="N130" s="56"/>
      <c r="O130" s="55"/>
      <c r="P130" s="764"/>
      <c r="Q130" s="769">
        <f t="shared" si="35"/>
        <v>0</v>
      </c>
      <c r="R130" s="55"/>
    </row>
    <row r="131" spans="1:18" ht="18.75" customHeight="1" x14ac:dyDescent="0.3">
      <c r="A131" s="50"/>
      <c r="B131" s="51"/>
      <c r="C131" s="51"/>
      <c r="D131" s="52" t="s">
        <v>246</v>
      </c>
      <c r="E131" s="54">
        <f t="shared" ref="E131:K131" si="38">SUM(E101+E130)</f>
        <v>0</v>
      </c>
      <c r="F131" s="54">
        <f t="shared" si="38"/>
        <v>28000</v>
      </c>
      <c r="G131" s="54">
        <f t="shared" si="38"/>
        <v>70200</v>
      </c>
      <c r="H131" s="54">
        <f t="shared" si="38"/>
        <v>0</v>
      </c>
      <c r="I131" s="54">
        <f t="shared" si="38"/>
        <v>0</v>
      </c>
      <c r="J131" s="54">
        <f t="shared" si="38"/>
        <v>464000</v>
      </c>
      <c r="K131" s="54">
        <f t="shared" si="38"/>
        <v>1620826.97</v>
      </c>
      <c r="L131" s="54">
        <f t="shared" si="37"/>
        <v>2183026.9699999997</v>
      </c>
      <c r="M131" s="1157"/>
      <c r="N131" s="56"/>
      <c r="O131" s="55"/>
      <c r="P131" s="764"/>
      <c r="Q131" s="769">
        <f t="shared" si="35"/>
        <v>2183026.9699999997</v>
      </c>
      <c r="R131" s="55"/>
    </row>
    <row r="132" spans="1:18" ht="18.75" customHeight="1" x14ac:dyDescent="0.3">
      <c r="A132" s="57"/>
      <c r="B132" s="58"/>
      <c r="C132" s="58"/>
      <c r="D132" s="59" t="s">
        <v>247</v>
      </c>
      <c r="E132" s="60">
        <f t="shared" ref="E132:K132" si="39">SUM(E102-E130)</f>
        <v>1286000</v>
      </c>
      <c r="F132" s="60">
        <f t="shared" si="39"/>
        <v>1396800</v>
      </c>
      <c r="G132" s="60">
        <f t="shared" si="39"/>
        <v>764800</v>
      </c>
      <c r="H132" s="60">
        <f t="shared" si="39"/>
        <v>525000</v>
      </c>
      <c r="I132" s="60">
        <f t="shared" si="39"/>
        <v>424000</v>
      </c>
      <c r="J132" s="60">
        <f t="shared" si="39"/>
        <v>1825500</v>
      </c>
      <c r="K132" s="60">
        <f t="shared" si="39"/>
        <v>46300173.030000001</v>
      </c>
      <c r="L132" s="60">
        <f t="shared" si="37"/>
        <v>52522273.030000001</v>
      </c>
      <c r="M132" s="1157"/>
      <c r="N132" s="56"/>
      <c r="O132" s="55"/>
      <c r="P132" s="764"/>
      <c r="Q132" s="769">
        <f t="shared" si="35"/>
        <v>52522273.030000001</v>
      </c>
      <c r="R132" s="55"/>
    </row>
    <row r="133" spans="1:18" ht="18.75" customHeight="1" x14ac:dyDescent="0.3">
      <c r="A133" s="61" t="s">
        <v>248</v>
      </c>
      <c r="B133" s="42"/>
      <c r="C133" s="33"/>
      <c r="D133" s="41"/>
      <c r="E133" s="35"/>
      <c r="F133" s="35"/>
      <c r="G133" s="35"/>
      <c r="H133" s="35"/>
      <c r="I133" s="35"/>
      <c r="J133" s="35"/>
      <c r="K133" s="35"/>
      <c r="L133" s="421">
        <f t="shared" si="37"/>
        <v>0</v>
      </c>
      <c r="M133" s="1155"/>
      <c r="N133" s="41"/>
      <c r="O133" s="37"/>
      <c r="P133" s="764"/>
      <c r="Q133" s="769">
        <f t="shared" si="35"/>
        <v>0</v>
      </c>
      <c r="R133" s="37"/>
    </row>
    <row r="134" spans="1:18" ht="18.75" customHeight="1" thickBot="1" x14ac:dyDescent="0.35">
      <c r="A134" s="32"/>
      <c r="B134" s="42"/>
      <c r="C134" s="33"/>
      <c r="D134" s="34"/>
      <c r="E134" s="35"/>
      <c r="F134" s="35"/>
      <c r="G134" s="35"/>
      <c r="H134" s="35"/>
      <c r="I134" s="35"/>
      <c r="J134" s="35"/>
      <c r="K134" s="35"/>
      <c r="L134" s="421"/>
      <c r="M134" s="1155"/>
      <c r="N134" s="41"/>
      <c r="O134" s="37"/>
      <c r="P134" s="764"/>
      <c r="Q134" s="769">
        <f t="shared" si="35"/>
        <v>0</v>
      </c>
      <c r="R134" s="37"/>
    </row>
    <row r="135" spans="1:18" ht="18.75" customHeight="1" thickBot="1" x14ac:dyDescent="0.35">
      <c r="A135" s="61"/>
      <c r="B135" s="447"/>
      <c r="C135" s="448"/>
      <c r="D135" s="449"/>
      <c r="E135" s="450"/>
      <c r="F135" s="450"/>
      <c r="G135" s="450"/>
      <c r="H135" s="450"/>
      <c r="I135" s="450"/>
      <c r="J135" s="450"/>
      <c r="K135" s="450"/>
      <c r="L135" s="421"/>
      <c r="M135" s="1162"/>
      <c r="N135" s="449"/>
      <c r="O135" s="450"/>
      <c r="P135" s="764"/>
      <c r="Q135" s="769">
        <f t="shared" si="35"/>
        <v>0</v>
      </c>
      <c r="R135" s="450"/>
    </row>
    <row r="136" spans="1:18" ht="18.75" customHeight="1" thickBot="1" x14ac:dyDescent="0.35">
      <c r="A136" s="61"/>
      <c r="B136" s="447"/>
      <c r="C136" s="448"/>
      <c r="D136" s="449"/>
      <c r="E136" s="450"/>
      <c r="F136" s="450"/>
      <c r="G136" s="451"/>
      <c r="H136" s="450"/>
      <c r="I136" s="450"/>
      <c r="J136" s="450"/>
      <c r="K136" s="450"/>
      <c r="L136" s="421"/>
      <c r="M136" s="1162"/>
      <c r="N136" s="449"/>
      <c r="O136" s="450"/>
      <c r="P136" s="764"/>
      <c r="Q136" s="769">
        <f t="shared" si="35"/>
        <v>0</v>
      </c>
      <c r="R136" s="450"/>
    </row>
    <row r="137" spans="1:18" ht="18.75" customHeight="1" x14ac:dyDescent="0.3">
      <c r="A137" s="32"/>
      <c r="B137" s="42"/>
      <c r="C137" s="33"/>
      <c r="D137" s="41"/>
      <c r="E137" s="35"/>
      <c r="F137" s="35"/>
      <c r="G137" s="35"/>
      <c r="H137" s="35"/>
      <c r="I137" s="35"/>
      <c r="J137" s="35"/>
      <c r="K137" s="35"/>
      <c r="L137" s="421"/>
      <c r="M137" s="1156"/>
      <c r="N137" s="41"/>
      <c r="O137" s="37"/>
      <c r="P137" s="764"/>
      <c r="Q137" s="769">
        <f t="shared" si="35"/>
        <v>0</v>
      </c>
      <c r="R137" s="37"/>
    </row>
    <row r="138" spans="1:18" ht="19.5" thickBot="1" x14ac:dyDescent="0.35">
      <c r="A138" s="32"/>
      <c r="B138" s="42"/>
      <c r="C138" s="33"/>
      <c r="D138" s="65"/>
      <c r="E138" s="35"/>
      <c r="F138" s="35"/>
      <c r="G138" s="35"/>
      <c r="H138" s="35"/>
      <c r="I138" s="35"/>
      <c r="J138" s="35"/>
      <c r="K138" s="35"/>
      <c r="L138" s="421"/>
      <c r="M138" s="1163"/>
      <c r="N138" s="34"/>
      <c r="O138" s="37"/>
      <c r="P138" s="764"/>
      <c r="Q138" s="769">
        <f t="shared" si="35"/>
        <v>0</v>
      </c>
      <c r="R138" s="37"/>
    </row>
    <row r="139" spans="1:18" ht="18.75" customHeight="1" thickBot="1" x14ac:dyDescent="0.35">
      <c r="A139" s="61"/>
      <c r="B139" s="447"/>
      <c r="C139" s="448"/>
      <c r="D139" s="449"/>
      <c r="E139" s="450"/>
      <c r="F139" s="450"/>
      <c r="G139" s="451"/>
      <c r="H139" s="450"/>
      <c r="I139" s="450"/>
      <c r="J139" s="450"/>
      <c r="K139" s="450"/>
      <c r="L139" s="421"/>
      <c r="M139" s="1162"/>
      <c r="N139" s="449"/>
      <c r="O139" s="450"/>
      <c r="P139" s="764"/>
      <c r="Q139" s="769">
        <f t="shared" si="35"/>
        <v>0</v>
      </c>
      <c r="R139" s="450"/>
    </row>
    <row r="140" spans="1:18" ht="18.75" customHeight="1" thickBot="1" x14ac:dyDescent="0.35">
      <c r="A140" s="61"/>
      <c r="B140" s="447"/>
      <c r="C140" s="448"/>
      <c r="D140" s="449"/>
      <c r="E140" s="450"/>
      <c r="F140" s="450"/>
      <c r="G140" s="451"/>
      <c r="H140" s="450"/>
      <c r="I140" s="450"/>
      <c r="J140" s="450"/>
      <c r="K140" s="450"/>
      <c r="L140" s="421"/>
      <c r="M140" s="1162"/>
      <c r="N140" s="449"/>
      <c r="O140" s="450"/>
      <c r="P140" s="764"/>
      <c r="Q140" s="769">
        <f t="shared" si="35"/>
        <v>0</v>
      </c>
      <c r="R140" s="450"/>
    </row>
    <row r="141" spans="1:18" ht="171.75" customHeight="1" x14ac:dyDescent="0.3">
      <c r="A141" s="32"/>
      <c r="B141" s="34"/>
      <c r="C141" s="93"/>
      <c r="D141" s="34"/>
      <c r="E141" s="452"/>
      <c r="F141" s="453"/>
      <c r="G141" s="454"/>
      <c r="H141" s="453"/>
      <c r="I141" s="453"/>
      <c r="J141" s="453"/>
      <c r="K141" s="453"/>
      <c r="L141" s="421"/>
      <c r="M141" s="1154"/>
      <c r="N141" s="34"/>
      <c r="O141" s="675"/>
      <c r="P141" s="764"/>
      <c r="Q141" s="769">
        <f t="shared" si="35"/>
        <v>0</v>
      </c>
      <c r="R141" s="37"/>
    </row>
    <row r="142" spans="1:18" ht="18.75" customHeight="1" x14ac:dyDescent="0.3">
      <c r="A142" s="32"/>
      <c r="B142" s="34"/>
      <c r="C142" s="93"/>
      <c r="D142" s="34"/>
      <c r="E142" s="453"/>
      <c r="F142" s="452"/>
      <c r="G142" s="454"/>
      <c r="H142" s="453"/>
      <c r="I142" s="453"/>
      <c r="J142" s="453"/>
      <c r="K142" s="453"/>
      <c r="L142" s="421"/>
      <c r="M142" s="1164"/>
      <c r="N142" s="453"/>
      <c r="O142" s="453"/>
      <c r="P142" s="764"/>
      <c r="Q142" s="769">
        <f t="shared" si="35"/>
        <v>0</v>
      </c>
      <c r="R142" s="453"/>
    </row>
    <row r="143" spans="1:18" ht="18.75" x14ac:dyDescent="0.3">
      <c r="A143" s="32"/>
      <c r="B143" s="34"/>
      <c r="C143" s="93"/>
      <c r="D143" s="34"/>
      <c r="E143" s="453"/>
      <c r="F143" s="453"/>
      <c r="G143" s="454"/>
      <c r="H143" s="453"/>
      <c r="I143" s="453"/>
      <c r="J143" s="452"/>
      <c r="K143" s="453"/>
      <c r="L143" s="421"/>
      <c r="M143" s="1154"/>
      <c r="N143" s="34"/>
      <c r="O143" s="452"/>
      <c r="P143" s="764"/>
      <c r="Q143" s="769">
        <f t="shared" si="35"/>
        <v>0</v>
      </c>
      <c r="R143" s="37"/>
    </row>
    <row r="144" spans="1:18" ht="18.75" customHeight="1" x14ac:dyDescent="0.3">
      <c r="A144" s="32"/>
      <c r="B144" s="34"/>
      <c r="C144" s="93"/>
      <c r="D144" s="34"/>
      <c r="E144" s="453"/>
      <c r="F144" s="453"/>
      <c r="G144" s="454"/>
      <c r="H144" s="453"/>
      <c r="I144" s="453"/>
      <c r="J144" s="452"/>
      <c r="K144" s="453"/>
      <c r="L144" s="421"/>
      <c r="M144" s="1164"/>
      <c r="N144" s="453"/>
      <c r="O144" s="453"/>
      <c r="P144" s="764"/>
      <c r="Q144" s="769">
        <f t="shared" si="35"/>
        <v>0</v>
      </c>
      <c r="R144" s="453"/>
    </row>
    <row r="145" spans="1:18" ht="18.75" x14ac:dyDescent="0.3">
      <c r="A145" s="32"/>
      <c r="B145" s="34"/>
      <c r="C145" s="93"/>
      <c r="D145" s="34"/>
      <c r="E145" s="453"/>
      <c r="F145" s="453"/>
      <c r="G145" s="455"/>
      <c r="H145" s="453"/>
      <c r="I145" s="453"/>
      <c r="J145" s="453"/>
      <c r="K145" s="453"/>
      <c r="L145" s="421"/>
      <c r="M145" s="1154"/>
      <c r="N145" s="34"/>
      <c r="O145" s="452"/>
      <c r="P145" s="764"/>
      <c r="Q145" s="769">
        <f t="shared" si="35"/>
        <v>0</v>
      </c>
      <c r="R145" s="453"/>
    </row>
    <row r="146" spans="1:18" ht="38.25" customHeight="1" x14ac:dyDescent="0.3">
      <c r="A146" s="32"/>
      <c r="B146" s="34"/>
      <c r="C146" s="93"/>
      <c r="D146" s="34"/>
      <c r="E146" s="453"/>
      <c r="F146" s="453"/>
      <c r="G146" s="454"/>
      <c r="H146" s="453"/>
      <c r="I146" s="453"/>
      <c r="J146" s="34"/>
      <c r="K146" s="453"/>
      <c r="L146" s="421"/>
      <c r="M146" s="1154"/>
      <c r="N146" s="34"/>
      <c r="O146" s="452"/>
      <c r="P146" s="764"/>
      <c r="Q146" s="769">
        <f t="shared" si="35"/>
        <v>0</v>
      </c>
      <c r="R146" s="453"/>
    </row>
    <row r="147" spans="1:18" s="668" customFormat="1" ht="18.75" customHeight="1" x14ac:dyDescent="0.3">
      <c r="A147" s="677"/>
      <c r="B147" s="678"/>
      <c r="C147" s="679"/>
      <c r="D147" s="678"/>
      <c r="E147" s="678"/>
      <c r="F147" s="678"/>
      <c r="G147" s="680"/>
      <c r="H147" s="678"/>
      <c r="I147" s="678"/>
      <c r="J147" s="678"/>
      <c r="K147" s="678"/>
      <c r="L147" s="671"/>
      <c r="M147" s="1165"/>
      <c r="N147" s="678"/>
      <c r="O147" s="678"/>
      <c r="P147" s="765"/>
      <c r="Q147" s="769"/>
      <c r="R147" s="678"/>
    </row>
    <row r="148" spans="1:18" ht="18.75" customHeight="1" x14ac:dyDescent="0.3">
      <c r="A148" s="61"/>
      <c r="B148" s="453"/>
      <c r="C148" s="456"/>
      <c r="D148" s="453"/>
      <c r="E148" s="453"/>
      <c r="F148" s="453"/>
      <c r="G148" s="454"/>
      <c r="H148" s="453"/>
      <c r="I148" s="453"/>
      <c r="J148" s="453"/>
      <c r="K148" s="453"/>
      <c r="L148" s="421">
        <f t="shared" si="37"/>
        <v>0</v>
      </c>
      <c r="M148" s="1164"/>
      <c r="N148" s="453"/>
      <c r="O148" s="453"/>
      <c r="P148" s="765"/>
      <c r="Q148" s="769"/>
      <c r="R148" s="453"/>
    </row>
    <row r="149" spans="1:18" ht="18.75" customHeight="1" x14ac:dyDescent="0.3">
      <c r="A149" s="32"/>
      <c r="B149" s="42"/>
      <c r="C149" s="33"/>
      <c r="D149" s="41"/>
      <c r="E149" s="35"/>
      <c r="F149" s="35"/>
      <c r="G149" s="35"/>
      <c r="H149" s="35"/>
      <c r="I149" s="35"/>
      <c r="J149" s="35"/>
      <c r="K149" s="35"/>
      <c r="L149" s="421">
        <f t="shared" si="37"/>
        <v>0</v>
      </c>
      <c r="M149" s="1156"/>
      <c r="N149" s="41"/>
      <c r="O149" s="37"/>
      <c r="P149" s="765"/>
      <c r="Q149" s="769"/>
      <c r="R149" s="37"/>
    </row>
    <row r="150" spans="1:18" ht="18.75" customHeight="1" x14ac:dyDescent="0.3">
      <c r="A150" s="32"/>
      <c r="B150" s="42"/>
      <c r="C150" s="33"/>
      <c r="D150" s="41"/>
      <c r="E150" s="35"/>
      <c r="F150" s="35"/>
      <c r="G150" s="35"/>
      <c r="H150" s="35"/>
      <c r="I150" s="35"/>
      <c r="J150" s="35"/>
      <c r="K150" s="35"/>
      <c r="L150" s="421">
        <f t="shared" si="37"/>
        <v>0</v>
      </c>
      <c r="M150" s="1156"/>
      <c r="N150" s="41"/>
      <c r="O150" s="37"/>
      <c r="P150" s="764"/>
      <c r="Q150" s="769"/>
      <c r="R150" s="37"/>
    </row>
    <row r="151" spans="1:18" ht="18.75" customHeight="1" x14ac:dyDescent="0.3">
      <c r="A151" s="32"/>
      <c r="B151" s="42"/>
      <c r="C151" s="33"/>
      <c r="D151" s="41"/>
      <c r="E151" s="35"/>
      <c r="F151" s="35"/>
      <c r="G151" s="35"/>
      <c r="H151" s="35"/>
      <c r="I151" s="35"/>
      <c r="J151" s="35"/>
      <c r="K151" s="35"/>
      <c r="L151" s="421">
        <f t="shared" si="37"/>
        <v>0</v>
      </c>
      <c r="M151" s="1156"/>
      <c r="N151" s="41"/>
      <c r="O151" s="37"/>
      <c r="P151" s="764"/>
      <c r="Q151" s="769">
        <f>L151-O151-P151</f>
        <v>0</v>
      </c>
      <c r="R151" s="37"/>
    </row>
    <row r="152" spans="1:18" ht="21.75" customHeight="1" x14ac:dyDescent="0.3">
      <c r="A152" s="44"/>
      <c r="B152" s="45"/>
      <c r="C152" s="46"/>
      <c r="D152" s="47"/>
      <c r="E152" s="48"/>
      <c r="F152" s="48"/>
      <c r="G152" s="48"/>
      <c r="H152" s="48"/>
      <c r="I152" s="48"/>
      <c r="J152" s="48"/>
      <c r="K152" s="48"/>
      <c r="L152" s="421">
        <f t="shared" si="37"/>
        <v>0</v>
      </c>
      <c r="M152" s="1155"/>
      <c r="N152" s="41"/>
      <c r="O152" s="37"/>
      <c r="P152" s="764"/>
      <c r="Q152" s="769">
        <f t="shared" ref="Q152:Q170" si="40">L152-O152-P152</f>
        <v>0</v>
      </c>
      <c r="R152" s="37"/>
    </row>
    <row r="153" spans="1:18" ht="18.75" customHeight="1" x14ac:dyDescent="0.3">
      <c r="A153" s="50"/>
      <c r="B153" s="51"/>
      <c r="C153" s="51"/>
      <c r="D153" s="52" t="s">
        <v>249</v>
      </c>
      <c r="E153" s="53">
        <f t="shared" ref="E153:K153" si="41">SUM(E133:E152)</f>
        <v>0</v>
      </c>
      <c r="F153" s="53">
        <f t="shared" si="41"/>
        <v>0</v>
      </c>
      <c r="G153" s="53">
        <f t="shared" si="41"/>
        <v>0</v>
      </c>
      <c r="H153" s="53">
        <f>SUM(H133:H152)</f>
        <v>0</v>
      </c>
      <c r="I153" s="53">
        <f t="shared" si="41"/>
        <v>0</v>
      </c>
      <c r="J153" s="53">
        <f t="shared" si="41"/>
        <v>0</v>
      </c>
      <c r="K153" s="53">
        <f t="shared" si="41"/>
        <v>0</v>
      </c>
      <c r="L153" s="54">
        <f t="shared" si="37"/>
        <v>0</v>
      </c>
      <c r="M153" s="1157"/>
      <c r="N153" s="56"/>
      <c r="O153" s="55"/>
      <c r="P153" s="764"/>
      <c r="Q153" s="769">
        <f t="shared" si="40"/>
        <v>0</v>
      </c>
      <c r="R153" s="55"/>
    </row>
    <row r="154" spans="1:18" ht="18.75" customHeight="1" x14ac:dyDescent="0.3">
      <c r="A154" s="50"/>
      <c r="B154" s="51"/>
      <c r="C154" s="51"/>
      <c r="D154" s="52" t="s">
        <v>250</v>
      </c>
      <c r="E154" s="54">
        <f t="shared" ref="E154:K154" si="42">SUM(E131+E153)</f>
        <v>0</v>
      </c>
      <c r="F154" s="54">
        <f t="shared" si="42"/>
        <v>28000</v>
      </c>
      <c r="G154" s="54">
        <f t="shared" si="42"/>
        <v>70200</v>
      </c>
      <c r="H154" s="54">
        <f>SUM(H131+H153)</f>
        <v>0</v>
      </c>
      <c r="I154" s="54">
        <f t="shared" si="42"/>
        <v>0</v>
      </c>
      <c r="J154" s="54">
        <f t="shared" si="42"/>
        <v>464000</v>
      </c>
      <c r="K154" s="54">
        <f t="shared" si="42"/>
        <v>1620826.97</v>
      </c>
      <c r="L154" s="54">
        <f t="shared" si="37"/>
        <v>2183026.9699999997</v>
      </c>
      <c r="M154" s="1157"/>
      <c r="N154" s="56"/>
      <c r="O154" s="55"/>
      <c r="P154" s="764"/>
      <c r="Q154" s="769">
        <f t="shared" si="40"/>
        <v>2183026.9699999997</v>
      </c>
      <c r="R154" s="55"/>
    </row>
    <row r="155" spans="1:18" ht="18.75" customHeight="1" x14ac:dyDescent="0.3">
      <c r="A155" s="57"/>
      <c r="B155" s="58"/>
      <c r="C155" s="58"/>
      <c r="D155" s="59" t="s">
        <v>251</v>
      </c>
      <c r="E155" s="60">
        <f t="shared" ref="E155:K155" si="43">SUM(E132-E153)</f>
        <v>1286000</v>
      </c>
      <c r="F155" s="60">
        <f t="shared" si="43"/>
        <v>1396800</v>
      </c>
      <c r="G155" s="60">
        <f t="shared" si="43"/>
        <v>764800</v>
      </c>
      <c r="H155" s="60">
        <f t="shared" si="43"/>
        <v>525000</v>
      </c>
      <c r="I155" s="60">
        <f t="shared" si="43"/>
        <v>424000</v>
      </c>
      <c r="J155" s="60">
        <f t="shared" si="43"/>
        <v>1825500</v>
      </c>
      <c r="K155" s="60">
        <f t="shared" si="43"/>
        <v>46300173.030000001</v>
      </c>
      <c r="L155" s="60">
        <f t="shared" si="37"/>
        <v>52522273.030000001</v>
      </c>
      <c r="M155" s="1157"/>
      <c r="N155" s="56"/>
      <c r="O155" s="55"/>
      <c r="P155" s="764"/>
      <c r="Q155" s="769">
        <f t="shared" si="40"/>
        <v>52522273.030000001</v>
      </c>
      <c r="R155" s="55"/>
    </row>
    <row r="156" spans="1:18" ht="18.75" customHeight="1" thickBot="1" x14ac:dyDescent="0.35">
      <c r="A156" s="61" t="s">
        <v>252</v>
      </c>
      <c r="B156" s="42"/>
      <c r="C156" s="33"/>
      <c r="D156" s="41"/>
      <c r="E156" s="35"/>
      <c r="F156" s="35"/>
      <c r="G156" s="35"/>
      <c r="H156" s="35"/>
      <c r="I156" s="35"/>
      <c r="J156" s="35"/>
      <c r="K156" s="35"/>
      <c r="L156" s="421">
        <f t="shared" si="37"/>
        <v>0</v>
      </c>
      <c r="M156" s="1155"/>
      <c r="N156" s="41"/>
      <c r="O156" s="37"/>
      <c r="P156" s="764"/>
      <c r="Q156" s="769">
        <f t="shared" si="40"/>
        <v>0</v>
      </c>
      <c r="R156" s="37"/>
    </row>
    <row r="157" spans="1:18" ht="18.75" customHeight="1" thickBot="1" x14ac:dyDescent="0.35">
      <c r="A157" s="61"/>
      <c r="B157" s="447"/>
      <c r="C157" s="448"/>
      <c r="D157" s="449"/>
      <c r="E157" s="450"/>
      <c r="F157" s="450"/>
      <c r="G157" s="451"/>
      <c r="H157" s="450"/>
      <c r="I157" s="450"/>
      <c r="J157" s="450"/>
      <c r="K157" s="450"/>
      <c r="L157" s="421"/>
      <c r="M157" s="1162"/>
      <c r="N157" s="449"/>
      <c r="O157" s="450"/>
      <c r="P157" s="764"/>
      <c r="Q157" s="769">
        <f t="shared" si="40"/>
        <v>0</v>
      </c>
      <c r="R157" s="450"/>
    </row>
    <row r="158" spans="1:18" ht="19.5" thickBot="1" x14ac:dyDescent="0.35">
      <c r="A158" s="130"/>
      <c r="B158" s="131"/>
      <c r="C158" s="132"/>
      <c r="D158" s="133"/>
      <c r="E158" s="134"/>
      <c r="F158" s="134"/>
      <c r="G158" s="134"/>
      <c r="H158" s="134"/>
      <c r="I158" s="134"/>
      <c r="J158" s="134"/>
      <c r="K158" s="134"/>
      <c r="L158" s="421"/>
      <c r="M158" s="1166"/>
      <c r="N158" s="133"/>
      <c r="O158" s="136"/>
      <c r="P158" s="764"/>
      <c r="Q158" s="769">
        <f t="shared" si="40"/>
        <v>0</v>
      </c>
      <c r="R158" s="136"/>
    </row>
    <row r="159" spans="1:18" ht="18.75" customHeight="1" thickBot="1" x14ac:dyDescent="0.35">
      <c r="A159" s="61"/>
      <c r="B159" s="447"/>
      <c r="C159" s="448"/>
      <c r="D159" s="449"/>
      <c r="E159" s="450"/>
      <c r="F159" s="450"/>
      <c r="G159" s="451"/>
      <c r="H159" s="450"/>
      <c r="I159" s="450"/>
      <c r="J159" s="450"/>
      <c r="K159" s="450"/>
      <c r="L159" s="421"/>
      <c r="M159" s="1162"/>
      <c r="N159" s="449"/>
      <c r="O159" s="450"/>
      <c r="P159" s="764"/>
      <c r="Q159" s="769">
        <f t="shared" si="40"/>
        <v>0</v>
      </c>
      <c r="R159" s="450"/>
    </row>
    <row r="160" spans="1:18" ht="18.75" customHeight="1" thickBot="1" x14ac:dyDescent="0.35">
      <c r="A160" s="61"/>
      <c r="B160" s="447"/>
      <c r="C160" s="448"/>
      <c r="D160" s="449"/>
      <c r="E160" s="450"/>
      <c r="F160" s="450"/>
      <c r="G160" s="451"/>
      <c r="H160" s="450"/>
      <c r="I160" s="450"/>
      <c r="J160" s="450"/>
      <c r="K160" s="450"/>
      <c r="L160" s="421"/>
      <c r="M160" s="1162"/>
      <c r="N160" s="449"/>
      <c r="O160" s="450"/>
      <c r="P160" s="764"/>
      <c r="Q160" s="769">
        <f t="shared" si="40"/>
        <v>0</v>
      </c>
      <c r="R160" s="450"/>
    </row>
    <row r="161" spans="1:18" ht="18.75" customHeight="1" thickBot="1" x14ac:dyDescent="0.35">
      <c r="A161" s="61"/>
      <c r="B161" s="447"/>
      <c r="C161" s="448"/>
      <c r="D161" s="449"/>
      <c r="E161" s="450"/>
      <c r="F161" s="450"/>
      <c r="G161" s="451"/>
      <c r="H161" s="450"/>
      <c r="I161" s="450"/>
      <c r="J161" s="450"/>
      <c r="K161" s="450"/>
      <c r="L161" s="421"/>
      <c r="M161" s="1162"/>
      <c r="N161" s="449"/>
      <c r="O161" s="450"/>
      <c r="P161" s="764"/>
      <c r="Q161" s="769">
        <f t="shared" si="40"/>
        <v>0</v>
      </c>
      <c r="R161" s="450"/>
    </row>
    <row r="162" spans="1:18" ht="18.75" customHeight="1" x14ac:dyDescent="0.3">
      <c r="A162" s="32"/>
      <c r="B162" s="42"/>
      <c r="C162" s="33"/>
      <c r="D162" s="133"/>
      <c r="E162" s="134"/>
      <c r="F162" s="134"/>
      <c r="G162" s="134"/>
      <c r="H162" s="134"/>
      <c r="I162" s="134"/>
      <c r="J162" s="134"/>
      <c r="K162" s="134"/>
      <c r="L162" s="421"/>
      <c r="M162" s="1156"/>
      <c r="O162" s="136"/>
      <c r="P162" s="764"/>
      <c r="Q162" s="769">
        <f t="shared" si="40"/>
        <v>0</v>
      </c>
      <c r="R162" s="37"/>
    </row>
    <row r="163" spans="1:18" ht="78.75" customHeight="1" x14ac:dyDescent="0.3">
      <c r="A163" s="32"/>
      <c r="B163" s="42"/>
      <c r="C163" s="33"/>
      <c r="D163" s="34"/>
      <c r="E163" s="35"/>
      <c r="F163" s="35"/>
      <c r="G163" s="35"/>
      <c r="H163" s="35"/>
      <c r="I163" s="35"/>
      <c r="J163" s="35"/>
      <c r="K163" s="35"/>
      <c r="L163" s="421"/>
      <c r="M163" s="1154"/>
      <c r="N163" s="34"/>
      <c r="O163" s="37"/>
      <c r="P163" s="764"/>
      <c r="Q163" s="769">
        <f t="shared" si="40"/>
        <v>0</v>
      </c>
      <c r="R163" s="37"/>
    </row>
    <row r="164" spans="1:18" ht="18.75" customHeight="1" x14ac:dyDescent="0.3">
      <c r="A164" s="32"/>
      <c r="B164" s="42"/>
      <c r="C164" s="33"/>
      <c r="D164" s="133"/>
      <c r="E164" s="35"/>
      <c r="F164" s="35"/>
      <c r="G164" s="35"/>
      <c r="H164" s="35"/>
      <c r="I164" s="35"/>
      <c r="J164" s="35"/>
      <c r="K164" s="35"/>
      <c r="L164" s="421"/>
      <c r="M164" s="1156"/>
      <c r="N164" s="41"/>
      <c r="O164" s="37"/>
      <c r="P164" s="764"/>
      <c r="Q164" s="769">
        <f t="shared" si="40"/>
        <v>0</v>
      </c>
      <c r="R164" s="37"/>
    </row>
    <row r="165" spans="1:18" ht="18.75" customHeight="1" x14ac:dyDescent="0.3">
      <c r="A165" s="32"/>
      <c r="B165" s="42"/>
      <c r="C165" s="33"/>
      <c r="D165" s="133"/>
      <c r="E165" s="35"/>
      <c r="F165" s="35"/>
      <c r="G165" s="35"/>
      <c r="H165" s="35"/>
      <c r="I165" s="35"/>
      <c r="J165" s="35"/>
      <c r="K165" s="35"/>
      <c r="L165" s="421"/>
      <c r="M165" s="1156"/>
      <c r="N165" s="41"/>
      <c r="O165" s="37"/>
      <c r="P165" s="764"/>
      <c r="Q165" s="769">
        <f t="shared" si="40"/>
        <v>0</v>
      </c>
      <c r="R165" s="37"/>
    </row>
    <row r="166" spans="1:18" ht="18.75" customHeight="1" x14ac:dyDescent="0.3">
      <c r="A166" s="32"/>
      <c r="B166" s="42"/>
      <c r="C166" s="33"/>
      <c r="D166" s="41"/>
      <c r="E166" s="35"/>
      <c r="F166" s="35"/>
      <c r="G166" s="35"/>
      <c r="H166" s="35"/>
      <c r="I166" s="35"/>
      <c r="J166" s="35"/>
      <c r="K166" s="35"/>
      <c r="L166" s="421"/>
      <c r="M166" s="1156"/>
      <c r="N166" s="41"/>
      <c r="O166" s="37"/>
      <c r="P166" s="764"/>
      <c r="Q166" s="769">
        <f t="shared" si="40"/>
        <v>0</v>
      </c>
      <c r="R166" s="37"/>
    </row>
    <row r="167" spans="1:18" ht="18.75" customHeight="1" x14ac:dyDescent="0.3">
      <c r="A167" s="32"/>
      <c r="B167" s="42"/>
      <c r="C167" s="33"/>
      <c r="D167" s="41"/>
      <c r="E167" s="35"/>
      <c r="F167" s="35"/>
      <c r="G167" s="35"/>
      <c r="H167" s="35"/>
      <c r="I167" s="35"/>
      <c r="J167" s="35"/>
      <c r="K167" s="35"/>
      <c r="L167" s="421"/>
      <c r="M167" s="1156"/>
      <c r="N167" s="41"/>
      <c r="O167" s="37"/>
      <c r="P167" s="764"/>
      <c r="Q167" s="769">
        <f t="shared" si="40"/>
        <v>0</v>
      </c>
      <c r="R167" s="37"/>
    </row>
    <row r="168" spans="1:18" ht="18.75" customHeight="1" x14ac:dyDescent="0.3">
      <c r="A168" s="32"/>
      <c r="B168" s="42"/>
      <c r="C168" s="33"/>
      <c r="D168" s="41"/>
      <c r="E168" s="35"/>
      <c r="F168" s="35"/>
      <c r="G168" s="35"/>
      <c r="H168" s="35"/>
      <c r="I168" s="35"/>
      <c r="J168" s="35"/>
      <c r="K168" s="35"/>
      <c r="L168" s="421"/>
      <c r="M168" s="1156"/>
      <c r="N168" s="41"/>
      <c r="O168" s="37"/>
      <c r="P168" s="764"/>
      <c r="Q168" s="769">
        <f t="shared" si="40"/>
        <v>0</v>
      </c>
      <c r="R168" s="37"/>
    </row>
    <row r="169" spans="1:18" ht="18.75" customHeight="1" x14ac:dyDescent="0.3">
      <c r="A169" s="32"/>
      <c r="B169" s="42"/>
      <c r="C169" s="33"/>
      <c r="D169" s="41"/>
      <c r="E169" s="35"/>
      <c r="F169" s="35"/>
      <c r="G169" s="35"/>
      <c r="H169" s="35"/>
      <c r="I169" s="35"/>
      <c r="J169" s="35"/>
      <c r="K169" s="35"/>
      <c r="L169" s="421"/>
      <c r="M169" s="1156"/>
      <c r="N169" s="41"/>
      <c r="O169" s="37"/>
      <c r="P169" s="764"/>
      <c r="Q169" s="769">
        <f t="shared" si="40"/>
        <v>0</v>
      </c>
      <c r="R169" s="37"/>
    </row>
    <row r="170" spans="1:18" ht="21.75" customHeight="1" x14ac:dyDescent="0.3">
      <c r="A170" s="44"/>
      <c r="B170" s="45"/>
      <c r="C170" s="46"/>
      <c r="D170" s="47"/>
      <c r="E170" s="48"/>
      <c r="F170" s="48"/>
      <c r="G170" s="48"/>
      <c r="H170" s="48"/>
      <c r="I170" s="48"/>
      <c r="J170" s="48"/>
      <c r="K170" s="48"/>
      <c r="L170" s="422"/>
      <c r="M170" s="1155"/>
      <c r="N170" s="41"/>
      <c r="O170" s="37"/>
      <c r="P170" s="764"/>
      <c r="Q170" s="769">
        <f t="shared" si="40"/>
        <v>0</v>
      </c>
      <c r="R170" s="37"/>
    </row>
    <row r="171" spans="1:18" ht="18.75" customHeight="1" x14ac:dyDescent="0.3">
      <c r="A171" s="50"/>
      <c r="B171" s="51"/>
      <c r="C171" s="51"/>
      <c r="D171" s="52" t="s">
        <v>253</v>
      </c>
      <c r="E171" s="53">
        <f t="shared" ref="E171:K171" si="44">SUM(E156:E170)</f>
        <v>0</v>
      </c>
      <c r="F171" s="53">
        <f t="shared" si="44"/>
        <v>0</v>
      </c>
      <c r="G171" s="53">
        <f t="shared" si="44"/>
        <v>0</v>
      </c>
      <c r="H171" s="53">
        <f t="shared" si="44"/>
        <v>0</v>
      </c>
      <c r="I171" s="53">
        <f t="shared" si="44"/>
        <v>0</v>
      </c>
      <c r="J171" s="53">
        <f t="shared" si="44"/>
        <v>0</v>
      </c>
      <c r="K171" s="53">
        <f t="shared" si="44"/>
        <v>0</v>
      </c>
      <c r="L171" s="54">
        <f t="shared" ref="L171:L174" si="45">SUM(E171:K171)</f>
        <v>0</v>
      </c>
      <c r="M171" s="1157"/>
      <c r="N171" s="56"/>
      <c r="O171" s="55"/>
      <c r="P171" s="765"/>
      <c r="Q171" s="769"/>
      <c r="R171" s="55"/>
    </row>
    <row r="172" spans="1:18" ht="18.75" customHeight="1" x14ac:dyDescent="0.3">
      <c r="A172" s="50"/>
      <c r="B172" s="51"/>
      <c r="C172" s="51"/>
      <c r="D172" s="52" t="s">
        <v>254</v>
      </c>
      <c r="E172" s="54">
        <f t="shared" ref="E172:K172" si="46">SUM(E154+E171)</f>
        <v>0</v>
      </c>
      <c r="F172" s="54">
        <f t="shared" si="46"/>
        <v>28000</v>
      </c>
      <c r="G172" s="54">
        <f t="shared" si="46"/>
        <v>70200</v>
      </c>
      <c r="H172" s="54">
        <f t="shared" si="46"/>
        <v>0</v>
      </c>
      <c r="I172" s="54">
        <f t="shared" si="46"/>
        <v>0</v>
      </c>
      <c r="J172" s="54">
        <f t="shared" si="46"/>
        <v>464000</v>
      </c>
      <c r="K172" s="54">
        <f t="shared" si="46"/>
        <v>1620826.97</v>
      </c>
      <c r="L172" s="54">
        <f t="shared" si="45"/>
        <v>2183026.9699999997</v>
      </c>
      <c r="M172" s="1157"/>
      <c r="N172" s="56"/>
      <c r="O172" s="55"/>
      <c r="P172" s="765"/>
      <c r="Q172" s="769"/>
      <c r="R172" s="55"/>
    </row>
    <row r="173" spans="1:18" ht="18.75" customHeight="1" x14ac:dyDescent="0.3">
      <c r="A173" s="57"/>
      <c r="B173" s="58"/>
      <c r="C173" s="58"/>
      <c r="D173" s="59" t="s">
        <v>255</v>
      </c>
      <c r="E173" s="60">
        <f t="shared" ref="E173:K173" si="47">SUM(E155-E171)</f>
        <v>1286000</v>
      </c>
      <c r="F173" s="60">
        <f t="shared" si="47"/>
        <v>1396800</v>
      </c>
      <c r="G173" s="60">
        <f t="shared" si="47"/>
        <v>764800</v>
      </c>
      <c r="H173" s="60">
        <f t="shared" si="47"/>
        <v>525000</v>
      </c>
      <c r="I173" s="60">
        <f t="shared" si="47"/>
        <v>424000</v>
      </c>
      <c r="J173" s="60">
        <f t="shared" si="47"/>
        <v>1825500</v>
      </c>
      <c r="K173" s="60">
        <f t="shared" si="47"/>
        <v>46300173.030000001</v>
      </c>
      <c r="L173" s="60">
        <f t="shared" si="45"/>
        <v>52522273.030000001</v>
      </c>
      <c r="M173" s="1157"/>
      <c r="N173" s="56"/>
      <c r="O173" s="55"/>
      <c r="P173" s="765"/>
      <c r="Q173" s="769"/>
      <c r="R173" s="55"/>
    </row>
    <row r="174" spans="1:18" ht="18.75" customHeight="1" x14ac:dyDescent="0.3">
      <c r="A174" s="61" t="s">
        <v>256</v>
      </c>
      <c r="B174" s="42"/>
      <c r="C174" s="33"/>
      <c r="D174" s="41"/>
      <c r="E174" s="35"/>
      <c r="F174" s="35"/>
      <c r="G174" s="35"/>
      <c r="H174" s="35"/>
      <c r="I174" s="35"/>
      <c r="J174" s="35"/>
      <c r="K174" s="35"/>
      <c r="L174" s="421">
        <f t="shared" si="45"/>
        <v>0</v>
      </c>
      <c r="M174" s="1155"/>
      <c r="N174" s="41"/>
      <c r="O174" s="37"/>
      <c r="P174" s="764"/>
      <c r="Q174" s="769"/>
      <c r="R174" s="37"/>
    </row>
    <row r="175" spans="1:18" ht="18.75" customHeight="1" x14ac:dyDescent="0.3">
      <c r="A175" s="32"/>
      <c r="B175" s="42"/>
      <c r="C175" s="33"/>
      <c r="D175" s="133"/>
      <c r="E175" s="35"/>
      <c r="F175" s="35"/>
      <c r="G175" s="35"/>
      <c r="H175" s="35"/>
      <c r="I175" s="35"/>
      <c r="J175" s="35"/>
      <c r="K175" s="134"/>
      <c r="L175" s="457"/>
      <c r="M175" s="1155"/>
      <c r="N175" s="41"/>
      <c r="O175" s="37"/>
      <c r="P175" s="764"/>
      <c r="Q175" s="769">
        <f>L175-O175-P175</f>
        <v>0</v>
      </c>
      <c r="R175" s="37"/>
    </row>
    <row r="176" spans="1:18" ht="18.75" customHeight="1" x14ac:dyDescent="0.3">
      <c r="A176" s="32"/>
      <c r="B176" s="42"/>
      <c r="C176" s="33"/>
      <c r="D176" s="34"/>
      <c r="E176" s="35"/>
      <c r="F176" s="35"/>
      <c r="G176" s="35"/>
      <c r="H176" s="35"/>
      <c r="I176" s="35"/>
      <c r="J176" s="35"/>
      <c r="K176" s="134"/>
      <c r="L176" s="457"/>
      <c r="M176" s="1155"/>
      <c r="N176" s="41"/>
      <c r="O176" s="37"/>
      <c r="P176" s="764"/>
      <c r="Q176" s="769">
        <f t="shared" ref="Q176:Q194" si="48">L176-O176-P176</f>
        <v>0</v>
      </c>
      <c r="R176" s="37"/>
    </row>
    <row r="177" spans="1:17" ht="18.75" customHeight="1" x14ac:dyDescent="0.3">
      <c r="A177" s="130"/>
      <c r="B177" s="131"/>
      <c r="C177" s="132"/>
      <c r="D177" s="133"/>
      <c r="E177" s="134"/>
      <c r="F177" s="134"/>
      <c r="G177" s="134"/>
      <c r="H177" s="134"/>
      <c r="I177" s="134"/>
      <c r="J177" s="134"/>
      <c r="K177" s="134"/>
      <c r="L177" s="457"/>
      <c r="M177" s="1155"/>
      <c r="N177" s="131"/>
      <c r="O177" s="136"/>
      <c r="P177" s="764"/>
      <c r="Q177" s="769">
        <f t="shared" si="48"/>
        <v>0</v>
      </c>
    </row>
    <row r="178" spans="1:17" s="668" customFormat="1" ht="18.75" customHeight="1" x14ac:dyDescent="0.3">
      <c r="A178" s="673"/>
      <c r="B178" s="672"/>
      <c r="C178" s="664"/>
      <c r="D178" s="666"/>
      <c r="E178" s="665"/>
      <c r="F178" s="665"/>
      <c r="G178" s="665"/>
      <c r="H178" s="665"/>
      <c r="I178" s="665"/>
      <c r="J178" s="665"/>
      <c r="K178" s="665"/>
      <c r="L178" s="674"/>
      <c r="M178" s="1155"/>
      <c r="N178" s="672"/>
      <c r="O178" s="667"/>
      <c r="P178" s="764"/>
      <c r="Q178" s="769">
        <f t="shared" si="48"/>
        <v>0</v>
      </c>
    </row>
    <row r="179" spans="1:17" s="668" customFormat="1" ht="18.75" customHeight="1" thickBot="1" x14ac:dyDescent="0.35">
      <c r="A179" s="673"/>
      <c r="B179" s="672"/>
      <c r="C179" s="664"/>
      <c r="D179" s="666"/>
      <c r="E179" s="665"/>
      <c r="F179" s="665"/>
      <c r="G179" s="665"/>
      <c r="H179" s="665"/>
      <c r="I179" s="665"/>
      <c r="J179" s="665"/>
      <c r="K179" s="665"/>
      <c r="L179" s="674"/>
      <c r="M179" s="1155"/>
      <c r="N179" s="666"/>
      <c r="O179" s="667"/>
      <c r="P179" s="764"/>
      <c r="Q179" s="769">
        <f t="shared" si="48"/>
        <v>0</v>
      </c>
    </row>
    <row r="180" spans="1:17" ht="18.75" customHeight="1" thickBot="1" x14ac:dyDescent="0.35">
      <c r="A180" s="61"/>
      <c r="B180" s="447"/>
      <c r="C180" s="448"/>
      <c r="D180" s="449"/>
      <c r="E180" s="450"/>
      <c r="F180" s="450"/>
      <c r="G180" s="451"/>
      <c r="H180" s="450"/>
      <c r="I180" s="450"/>
      <c r="J180" s="450"/>
      <c r="K180" s="450"/>
      <c r="L180" s="421"/>
      <c r="M180" s="1162"/>
      <c r="N180" s="449"/>
      <c r="O180" s="450"/>
      <c r="P180" s="764"/>
      <c r="Q180" s="769">
        <f t="shared" si="48"/>
        <v>0</v>
      </c>
    </row>
    <row r="181" spans="1:17" ht="18.75" customHeight="1" thickBot="1" x14ac:dyDescent="0.35">
      <c r="A181" s="61"/>
      <c r="B181" s="447"/>
      <c r="C181" s="448"/>
      <c r="D181" s="449"/>
      <c r="E181" s="450"/>
      <c r="F181" s="450"/>
      <c r="G181" s="451"/>
      <c r="H181" s="450"/>
      <c r="I181" s="450"/>
      <c r="J181" s="450"/>
      <c r="K181" s="450"/>
      <c r="L181" s="421"/>
      <c r="M181" s="1162"/>
      <c r="N181" s="449"/>
      <c r="O181" s="450"/>
      <c r="P181" s="764"/>
      <c r="Q181" s="769">
        <f t="shared" si="48"/>
        <v>0</v>
      </c>
    </row>
    <row r="182" spans="1:17" ht="18.75" customHeight="1" thickBot="1" x14ac:dyDescent="0.35">
      <c r="A182" s="61"/>
      <c r="B182" s="447"/>
      <c r="C182" s="448"/>
      <c r="D182" s="449"/>
      <c r="E182" s="450"/>
      <c r="F182" s="450"/>
      <c r="G182" s="451"/>
      <c r="H182" s="450"/>
      <c r="I182" s="450"/>
      <c r="J182" s="450"/>
      <c r="K182" s="450"/>
      <c r="L182" s="421"/>
      <c r="M182" s="1162"/>
      <c r="N182" s="449"/>
      <c r="O182" s="450"/>
      <c r="P182" s="764"/>
      <c r="Q182" s="769">
        <f t="shared" si="48"/>
        <v>0</v>
      </c>
    </row>
    <row r="183" spans="1:17" ht="18.75" customHeight="1" thickBot="1" x14ac:dyDescent="0.35">
      <c r="A183" s="61"/>
      <c r="B183" s="447"/>
      <c r="C183" s="448"/>
      <c r="D183" s="449"/>
      <c r="E183" s="450"/>
      <c r="F183" s="450"/>
      <c r="G183" s="451"/>
      <c r="H183" s="450"/>
      <c r="I183" s="450"/>
      <c r="J183" s="450"/>
      <c r="K183" s="450"/>
      <c r="L183" s="421"/>
      <c r="M183" s="1162"/>
      <c r="N183" s="449"/>
      <c r="O183" s="450"/>
      <c r="P183" s="764"/>
      <c r="Q183" s="769">
        <f t="shared" si="48"/>
        <v>0</v>
      </c>
    </row>
    <row r="184" spans="1:17" ht="18.75" customHeight="1" thickBot="1" x14ac:dyDescent="0.35">
      <c r="A184" s="61"/>
      <c r="B184" s="447"/>
      <c r="C184" s="448"/>
      <c r="D184" s="449"/>
      <c r="E184" s="450"/>
      <c r="F184" s="450"/>
      <c r="G184" s="451"/>
      <c r="H184" s="450"/>
      <c r="I184" s="450"/>
      <c r="J184" s="450"/>
      <c r="K184" s="450"/>
      <c r="L184" s="421"/>
      <c r="M184" s="1162"/>
      <c r="N184" s="449"/>
      <c r="O184" s="450"/>
      <c r="P184" s="764"/>
      <c r="Q184" s="769">
        <f t="shared" si="48"/>
        <v>0</v>
      </c>
    </row>
    <row r="185" spans="1:17" ht="18.75" customHeight="1" x14ac:dyDescent="0.3">
      <c r="A185" s="127"/>
      <c r="B185" s="38"/>
      <c r="C185" s="39"/>
      <c r="D185" s="40"/>
      <c r="E185" s="128"/>
      <c r="F185" s="128"/>
      <c r="G185" s="128"/>
      <c r="H185" s="128"/>
      <c r="I185" s="128"/>
      <c r="J185" s="128"/>
      <c r="K185" s="128"/>
      <c r="L185" s="457"/>
      <c r="M185" s="1156"/>
      <c r="N185" s="40"/>
      <c r="O185" s="43"/>
      <c r="P185" s="764"/>
      <c r="Q185" s="769">
        <f t="shared" si="48"/>
        <v>0</v>
      </c>
    </row>
    <row r="186" spans="1:17" ht="18.75" customHeight="1" x14ac:dyDescent="0.3">
      <c r="A186" s="127"/>
      <c r="B186" s="38"/>
      <c r="C186" s="39"/>
      <c r="D186" s="40"/>
      <c r="E186" s="128"/>
      <c r="F186" s="128"/>
      <c r="G186" s="128"/>
      <c r="H186" s="128"/>
      <c r="I186" s="128"/>
      <c r="J186" s="128"/>
      <c r="K186" s="128"/>
      <c r="L186" s="457">
        <f t="shared" ref="L186:L190" si="49">SUM(E186:K186)</f>
        <v>0</v>
      </c>
      <c r="M186" s="1156"/>
      <c r="N186" s="40"/>
      <c r="O186" s="43"/>
      <c r="P186" s="764"/>
      <c r="Q186" s="769">
        <f t="shared" si="48"/>
        <v>0</v>
      </c>
    </row>
    <row r="187" spans="1:17" ht="18.75" customHeight="1" x14ac:dyDescent="0.3">
      <c r="A187" s="127"/>
      <c r="B187" s="38"/>
      <c r="C187" s="39"/>
      <c r="D187" s="40"/>
      <c r="E187" s="128"/>
      <c r="F187" s="128"/>
      <c r="G187" s="128"/>
      <c r="H187" s="128"/>
      <c r="I187" s="128"/>
      <c r="J187" s="128"/>
      <c r="K187" s="128"/>
      <c r="L187" s="457">
        <f t="shared" si="49"/>
        <v>0</v>
      </c>
      <c r="M187" s="1156"/>
      <c r="N187" s="40"/>
      <c r="O187" s="43"/>
      <c r="P187" s="764"/>
      <c r="Q187" s="769">
        <f t="shared" si="48"/>
        <v>0</v>
      </c>
    </row>
    <row r="188" spans="1:17" ht="18.75" customHeight="1" x14ac:dyDescent="0.3">
      <c r="A188" s="127"/>
      <c r="B188" s="38"/>
      <c r="C188" s="39"/>
      <c r="D188" s="40"/>
      <c r="E188" s="128"/>
      <c r="F188" s="128"/>
      <c r="G188" s="128"/>
      <c r="H188" s="128"/>
      <c r="I188" s="128"/>
      <c r="J188" s="128"/>
      <c r="K188" s="128"/>
      <c r="L188" s="457">
        <f t="shared" si="49"/>
        <v>0</v>
      </c>
      <c r="M188" s="1156"/>
      <c r="N188" s="40"/>
      <c r="O188" s="43"/>
      <c r="P188" s="764"/>
      <c r="Q188" s="769">
        <f t="shared" si="48"/>
        <v>0</v>
      </c>
    </row>
    <row r="189" spans="1:17" ht="18.75" customHeight="1" x14ac:dyDescent="0.3">
      <c r="A189" s="127"/>
      <c r="B189" s="38"/>
      <c r="C189" s="39"/>
      <c r="D189" s="40"/>
      <c r="E189" s="128"/>
      <c r="F189" s="128"/>
      <c r="G189" s="128"/>
      <c r="H189" s="128"/>
      <c r="I189" s="128"/>
      <c r="J189" s="128"/>
      <c r="K189" s="128"/>
      <c r="L189" s="457">
        <f t="shared" si="49"/>
        <v>0</v>
      </c>
      <c r="M189" s="1156"/>
      <c r="N189" s="40"/>
      <c r="O189" s="43"/>
      <c r="P189" s="764"/>
      <c r="Q189" s="769">
        <f t="shared" si="48"/>
        <v>0</v>
      </c>
    </row>
    <row r="190" spans="1:17" ht="18.75" customHeight="1" x14ac:dyDescent="0.3">
      <c r="A190" s="127"/>
      <c r="B190" s="38"/>
      <c r="C190" s="39"/>
      <c r="D190" s="40"/>
      <c r="E190" s="128"/>
      <c r="F190" s="128"/>
      <c r="G190" s="128"/>
      <c r="H190" s="128"/>
      <c r="I190" s="128"/>
      <c r="J190" s="128"/>
      <c r="K190" s="128"/>
      <c r="L190" s="457">
        <f t="shared" si="49"/>
        <v>0</v>
      </c>
      <c r="M190" s="1156"/>
      <c r="N190" s="40"/>
      <c r="O190" s="43"/>
      <c r="P190" s="764"/>
      <c r="Q190" s="769">
        <f t="shared" si="48"/>
        <v>0</v>
      </c>
    </row>
    <row r="191" spans="1:17" ht="15" customHeight="1" x14ac:dyDescent="0.3">
      <c r="P191" s="764"/>
      <c r="Q191" s="769">
        <f t="shared" si="48"/>
        <v>0</v>
      </c>
    </row>
    <row r="192" spans="1:17" ht="15" customHeight="1" x14ac:dyDescent="0.3">
      <c r="P192" s="764"/>
      <c r="Q192" s="769">
        <f t="shared" si="48"/>
        <v>0</v>
      </c>
    </row>
    <row r="193" spans="4:17" ht="15" customHeight="1" x14ac:dyDescent="0.3">
      <c r="P193" s="764"/>
      <c r="Q193" s="769">
        <f t="shared" si="48"/>
        <v>0</v>
      </c>
    </row>
    <row r="194" spans="4:17" ht="15" customHeight="1" x14ac:dyDescent="0.3">
      <c r="P194" s="764"/>
      <c r="Q194" s="769">
        <f t="shared" si="48"/>
        <v>0</v>
      </c>
    </row>
    <row r="195" spans="4:17" ht="15" customHeight="1" x14ac:dyDescent="0.3">
      <c r="P195" s="765"/>
      <c r="Q195" s="769"/>
    </row>
    <row r="196" spans="4:17" ht="15" customHeight="1" x14ac:dyDescent="0.3">
      <c r="P196" s="765"/>
      <c r="Q196" s="769"/>
    </row>
    <row r="197" spans="4:17" ht="15" customHeight="1" x14ac:dyDescent="0.3">
      <c r="P197" s="765"/>
      <c r="Q197" s="769"/>
    </row>
    <row r="198" spans="4:17" ht="15" customHeight="1" x14ac:dyDescent="0.3">
      <c r="P198" s="764"/>
      <c r="Q198" s="769"/>
    </row>
    <row r="199" spans="4:17" ht="15" customHeight="1" x14ac:dyDescent="0.3">
      <c r="P199" s="764"/>
      <c r="Q199" s="769">
        <f>L199-O199-P199</f>
        <v>0</v>
      </c>
    </row>
    <row r="200" spans="4:17" ht="15" customHeight="1" x14ac:dyDescent="0.3">
      <c r="P200" s="764"/>
      <c r="Q200" s="769">
        <f t="shared" ref="Q200:Q218" si="50">L200-O200-P200</f>
        <v>0</v>
      </c>
    </row>
    <row r="201" spans="4:17" ht="18.75" customHeight="1" x14ac:dyDescent="0.3">
      <c r="D201" s="52" t="s">
        <v>257</v>
      </c>
      <c r="E201" s="53">
        <f t="shared" ref="E201:K201" si="51">SUM(E174:E200)</f>
        <v>0</v>
      </c>
      <c r="F201" s="53">
        <f t="shared" si="51"/>
        <v>0</v>
      </c>
      <c r="G201" s="53">
        <f t="shared" si="51"/>
        <v>0</v>
      </c>
      <c r="H201" s="53">
        <f t="shared" si="51"/>
        <v>0</v>
      </c>
      <c r="I201" s="53">
        <f t="shared" si="51"/>
        <v>0</v>
      </c>
      <c r="J201" s="53">
        <f t="shared" si="51"/>
        <v>0</v>
      </c>
      <c r="K201" s="53">
        <f t="shared" si="51"/>
        <v>0</v>
      </c>
      <c r="L201" s="54">
        <f>SUM(E201:K201)</f>
        <v>0</v>
      </c>
      <c r="P201" s="764"/>
      <c r="Q201" s="769">
        <f t="shared" si="50"/>
        <v>0</v>
      </c>
    </row>
    <row r="202" spans="4:17" ht="18.75" customHeight="1" x14ac:dyDescent="0.3">
      <c r="D202" s="52" t="s">
        <v>258</v>
      </c>
      <c r="E202" s="54">
        <f t="shared" ref="E202:K202" si="52">SUM(E172+E201)</f>
        <v>0</v>
      </c>
      <c r="F202" s="54">
        <f t="shared" si="52"/>
        <v>28000</v>
      </c>
      <c r="G202" s="54">
        <f t="shared" si="52"/>
        <v>70200</v>
      </c>
      <c r="H202" s="54">
        <f t="shared" si="52"/>
        <v>0</v>
      </c>
      <c r="I202" s="54">
        <f t="shared" si="52"/>
        <v>0</v>
      </c>
      <c r="J202" s="54">
        <f t="shared" si="52"/>
        <v>464000</v>
      </c>
      <c r="K202" s="54">
        <f t="shared" si="52"/>
        <v>1620826.97</v>
      </c>
      <c r="L202" s="54">
        <f>SUM(E202:K202)</f>
        <v>2183026.9699999997</v>
      </c>
      <c r="P202" s="764"/>
      <c r="Q202" s="769">
        <f t="shared" si="50"/>
        <v>2183026.9699999997</v>
      </c>
    </row>
    <row r="203" spans="4:17" ht="18.75" customHeight="1" x14ac:dyDescent="0.3">
      <c r="D203" s="59" t="s">
        <v>259</v>
      </c>
      <c r="E203" s="60">
        <f t="shared" ref="E203:K203" si="53">SUM(E173-E201)</f>
        <v>1286000</v>
      </c>
      <c r="F203" s="60">
        <f t="shared" si="53"/>
        <v>1396800</v>
      </c>
      <c r="G203" s="60">
        <f t="shared" si="53"/>
        <v>764800</v>
      </c>
      <c r="H203" s="60">
        <f t="shared" si="53"/>
        <v>525000</v>
      </c>
      <c r="I203" s="60">
        <f t="shared" si="53"/>
        <v>424000</v>
      </c>
      <c r="J203" s="60">
        <f t="shared" si="53"/>
        <v>1825500</v>
      </c>
      <c r="K203" s="60">
        <f t="shared" si="53"/>
        <v>46300173.030000001</v>
      </c>
      <c r="L203" s="60">
        <f>SUM(E203:K203)</f>
        <v>52522273.030000001</v>
      </c>
      <c r="P203" s="764"/>
      <c r="Q203" s="769">
        <f t="shared" si="50"/>
        <v>52522273.030000001</v>
      </c>
    </row>
    <row r="204" spans="4:17" ht="15" customHeight="1" x14ac:dyDescent="0.3">
      <c r="P204" s="764"/>
      <c r="Q204" s="769">
        <f t="shared" si="50"/>
        <v>0</v>
      </c>
    </row>
    <row r="205" spans="4:17" ht="15" customHeight="1" x14ac:dyDescent="0.3">
      <c r="P205" s="764"/>
      <c r="Q205" s="769">
        <f t="shared" si="50"/>
        <v>0</v>
      </c>
    </row>
    <row r="206" spans="4:17" ht="15" customHeight="1" x14ac:dyDescent="0.3">
      <c r="P206" s="764"/>
      <c r="Q206" s="769">
        <f t="shared" si="50"/>
        <v>0</v>
      </c>
    </row>
    <row r="207" spans="4:17" ht="15" customHeight="1" x14ac:dyDescent="0.3">
      <c r="P207" s="764"/>
      <c r="Q207" s="769">
        <f t="shared" si="50"/>
        <v>0</v>
      </c>
    </row>
    <row r="208" spans="4:17" ht="15" customHeight="1" x14ac:dyDescent="0.3">
      <c r="P208" s="764"/>
      <c r="Q208" s="769">
        <f t="shared" si="50"/>
        <v>0</v>
      </c>
    </row>
    <row r="209" spans="4:17" ht="18.75" customHeight="1" x14ac:dyDescent="0.3">
      <c r="D209" s="113" t="s">
        <v>357</v>
      </c>
      <c r="P209" s="764"/>
      <c r="Q209" s="769">
        <f t="shared" si="50"/>
        <v>0</v>
      </c>
    </row>
    <row r="210" spans="4:17" ht="15" customHeight="1" x14ac:dyDescent="0.3">
      <c r="P210" s="764"/>
      <c r="Q210" s="769">
        <f t="shared" si="50"/>
        <v>0</v>
      </c>
    </row>
    <row r="211" spans="4:17" ht="15" customHeight="1" x14ac:dyDescent="0.3">
      <c r="P211" s="764"/>
      <c r="Q211" s="769">
        <f t="shared" si="50"/>
        <v>0</v>
      </c>
    </row>
    <row r="212" spans="4:17" ht="15" customHeight="1" x14ac:dyDescent="0.3">
      <c r="P212" s="764"/>
      <c r="Q212" s="769">
        <f t="shared" si="50"/>
        <v>0</v>
      </c>
    </row>
    <row r="213" spans="4:17" ht="15" customHeight="1" x14ac:dyDescent="0.3">
      <c r="P213" s="764"/>
      <c r="Q213" s="769">
        <f t="shared" si="50"/>
        <v>0</v>
      </c>
    </row>
    <row r="214" spans="4:17" ht="15" customHeight="1" x14ac:dyDescent="0.3">
      <c r="P214" s="764"/>
      <c r="Q214" s="769">
        <f t="shared" si="50"/>
        <v>0</v>
      </c>
    </row>
    <row r="215" spans="4:17" ht="15" customHeight="1" x14ac:dyDescent="0.3">
      <c r="P215" s="764"/>
      <c r="Q215" s="769">
        <f t="shared" si="50"/>
        <v>0</v>
      </c>
    </row>
    <row r="216" spans="4:17" ht="15" customHeight="1" x14ac:dyDescent="0.3">
      <c r="P216" s="764"/>
      <c r="Q216" s="769">
        <f t="shared" si="50"/>
        <v>0</v>
      </c>
    </row>
    <row r="217" spans="4:17" ht="15" customHeight="1" x14ac:dyDescent="0.3">
      <c r="P217" s="764"/>
      <c r="Q217" s="769">
        <f t="shared" si="50"/>
        <v>0</v>
      </c>
    </row>
    <row r="218" spans="4:17" ht="15" customHeight="1" x14ac:dyDescent="0.3">
      <c r="P218" s="764"/>
      <c r="Q218" s="769">
        <f t="shared" si="50"/>
        <v>0</v>
      </c>
    </row>
    <row r="219" spans="4:17" ht="15" customHeight="1" x14ac:dyDescent="0.3">
      <c r="P219" s="765"/>
      <c r="Q219" s="769"/>
    </row>
    <row r="220" spans="4:17" ht="15" customHeight="1" x14ac:dyDescent="0.3">
      <c r="P220" s="765"/>
      <c r="Q220" s="769"/>
    </row>
    <row r="221" spans="4:17" ht="15" customHeight="1" x14ac:dyDescent="0.3">
      <c r="P221" s="765"/>
      <c r="Q221" s="769"/>
    </row>
    <row r="222" spans="4:17" ht="15" customHeight="1" x14ac:dyDescent="0.3">
      <c r="P222" s="764"/>
      <c r="Q222" s="769"/>
    </row>
    <row r="223" spans="4:17" ht="15" customHeight="1" x14ac:dyDescent="0.3">
      <c r="P223" s="764"/>
      <c r="Q223" s="769">
        <f>L223-O223-P223</f>
        <v>0</v>
      </c>
    </row>
    <row r="224" spans="4:17" ht="15" customHeight="1" x14ac:dyDescent="0.3">
      <c r="P224" s="764"/>
      <c r="Q224" s="769">
        <f t="shared" ref="Q224:Q242" si="54">L224-O224-P224</f>
        <v>0</v>
      </c>
    </row>
    <row r="225" spans="16:17" ht="15" customHeight="1" x14ac:dyDescent="0.3">
      <c r="P225" s="764"/>
      <c r="Q225" s="769">
        <f t="shared" si="54"/>
        <v>0</v>
      </c>
    </row>
    <row r="226" spans="16:17" ht="15" customHeight="1" x14ac:dyDescent="0.3">
      <c r="P226" s="764"/>
      <c r="Q226" s="769">
        <f t="shared" si="54"/>
        <v>0</v>
      </c>
    </row>
    <row r="227" spans="16:17" ht="15" customHeight="1" x14ac:dyDescent="0.3">
      <c r="P227" s="764"/>
      <c r="Q227" s="769">
        <f t="shared" si="54"/>
        <v>0</v>
      </c>
    </row>
    <row r="228" spans="16:17" ht="15" customHeight="1" x14ac:dyDescent="0.3">
      <c r="P228" s="764"/>
      <c r="Q228" s="769">
        <f t="shared" si="54"/>
        <v>0</v>
      </c>
    </row>
    <row r="229" spans="16:17" ht="15" customHeight="1" x14ac:dyDescent="0.3">
      <c r="P229" s="764"/>
      <c r="Q229" s="769">
        <f t="shared" si="54"/>
        <v>0</v>
      </c>
    </row>
    <row r="230" spans="16:17" ht="15" customHeight="1" x14ac:dyDescent="0.3">
      <c r="P230" s="764"/>
      <c r="Q230" s="769">
        <f t="shared" si="54"/>
        <v>0</v>
      </c>
    </row>
    <row r="231" spans="16:17" ht="15" customHeight="1" x14ac:dyDescent="0.3">
      <c r="P231" s="764"/>
      <c r="Q231" s="769">
        <f t="shared" si="54"/>
        <v>0</v>
      </c>
    </row>
    <row r="232" spans="16:17" ht="15" customHeight="1" x14ac:dyDescent="0.3">
      <c r="P232" s="764"/>
      <c r="Q232" s="769">
        <f t="shared" si="54"/>
        <v>0</v>
      </c>
    </row>
    <row r="233" spans="16:17" ht="15" customHeight="1" x14ac:dyDescent="0.3">
      <c r="P233" s="764"/>
      <c r="Q233" s="769">
        <f t="shared" si="54"/>
        <v>0</v>
      </c>
    </row>
    <row r="234" spans="16:17" ht="15" customHeight="1" x14ac:dyDescent="0.3">
      <c r="P234" s="764"/>
      <c r="Q234" s="769">
        <f t="shared" si="54"/>
        <v>0</v>
      </c>
    </row>
    <row r="235" spans="16:17" ht="15" customHeight="1" x14ac:dyDescent="0.3">
      <c r="P235" s="764"/>
      <c r="Q235" s="769">
        <f t="shared" si="54"/>
        <v>0</v>
      </c>
    </row>
    <row r="236" spans="16:17" ht="15" customHeight="1" x14ac:dyDescent="0.3">
      <c r="P236" s="764"/>
      <c r="Q236" s="769">
        <f t="shared" si="54"/>
        <v>0</v>
      </c>
    </row>
    <row r="237" spans="16:17" ht="15" customHeight="1" x14ac:dyDescent="0.3">
      <c r="P237" s="764"/>
      <c r="Q237" s="769">
        <f t="shared" si="54"/>
        <v>0</v>
      </c>
    </row>
    <row r="238" spans="16:17" ht="15" customHeight="1" x14ac:dyDescent="0.3">
      <c r="P238" s="764"/>
      <c r="Q238" s="769">
        <f t="shared" si="54"/>
        <v>0</v>
      </c>
    </row>
    <row r="239" spans="16:17" ht="15" customHeight="1" x14ac:dyDescent="0.3">
      <c r="P239" s="764"/>
      <c r="Q239" s="769">
        <f t="shared" si="54"/>
        <v>0</v>
      </c>
    </row>
    <row r="240" spans="16:17" ht="15" customHeight="1" x14ac:dyDescent="0.3">
      <c r="P240" s="764"/>
      <c r="Q240" s="769">
        <f t="shared" si="54"/>
        <v>0</v>
      </c>
    </row>
    <row r="241" spans="16:17" ht="15" customHeight="1" x14ac:dyDescent="0.3">
      <c r="P241" s="764"/>
      <c r="Q241" s="769">
        <f t="shared" si="54"/>
        <v>0</v>
      </c>
    </row>
    <row r="242" spans="16:17" ht="15" customHeight="1" x14ac:dyDescent="0.3">
      <c r="P242" s="764"/>
      <c r="Q242" s="769">
        <f t="shared" si="54"/>
        <v>0</v>
      </c>
    </row>
    <row r="243" spans="16:17" ht="15" customHeight="1" x14ac:dyDescent="0.3">
      <c r="P243" s="765"/>
      <c r="Q243" s="769"/>
    </row>
    <row r="244" spans="16:17" ht="15" customHeight="1" x14ac:dyDescent="0.3">
      <c r="P244" s="765"/>
      <c r="Q244" s="769"/>
    </row>
    <row r="245" spans="16:17" ht="15" customHeight="1" x14ac:dyDescent="0.3">
      <c r="P245" s="765"/>
      <c r="Q245" s="769"/>
    </row>
    <row r="246" spans="16:17" ht="15" customHeight="1" x14ac:dyDescent="0.3">
      <c r="P246" s="764"/>
      <c r="Q246" s="769"/>
    </row>
    <row r="247" spans="16:17" ht="15" customHeight="1" x14ac:dyDescent="0.3">
      <c r="P247" s="764"/>
      <c r="Q247" s="769">
        <f>L247-O247-P247</f>
        <v>0</v>
      </c>
    </row>
    <row r="248" spans="16:17" ht="15" customHeight="1" x14ac:dyDescent="0.3">
      <c r="P248" s="764"/>
      <c r="Q248" s="769">
        <f t="shared" ref="Q248:Q266" si="55">L248-O248-P248</f>
        <v>0</v>
      </c>
    </row>
    <row r="249" spans="16:17" ht="15" customHeight="1" x14ac:dyDescent="0.3">
      <c r="P249" s="764"/>
      <c r="Q249" s="769">
        <f t="shared" si="55"/>
        <v>0</v>
      </c>
    </row>
    <row r="250" spans="16:17" ht="15" customHeight="1" x14ac:dyDescent="0.3">
      <c r="P250" s="764"/>
      <c r="Q250" s="769">
        <f t="shared" si="55"/>
        <v>0</v>
      </c>
    </row>
    <row r="251" spans="16:17" ht="15" customHeight="1" x14ac:dyDescent="0.3">
      <c r="P251" s="764"/>
      <c r="Q251" s="769">
        <f t="shared" si="55"/>
        <v>0</v>
      </c>
    </row>
    <row r="252" spans="16:17" ht="15" customHeight="1" x14ac:dyDescent="0.3">
      <c r="P252" s="764"/>
      <c r="Q252" s="769">
        <f t="shared" si="55"/>
        <v>0</v>
      </c>
    </row>
    <row r="253" spans="16:17" ht="15" customHeight="1" x14ac:dyDescent="0.3">
      <c r="P253" s="764"/>
      <c r="Q253" s="769">
        <f t="shared" si="55"/>
        <v>0</v>
      </c>
    </row>
    <row r="254" spans="16:17" ht="15" customHeight="1" x14ac:dyDescent="0.3">
      <c r="P254" s="764"/>
      <c r="Q254" s="769">
        <f t="shared" si="55"/>
        <v>0</v>
      </c>
    </row>
    <row r="255" spans="16:17" ht="15" customHeight="1" x14ac:dyDescent="0.3">
      <c r="P255" s="764"/>
      <c r="Q255" s="769">
        <f t="shared" si="55"/>
        <v>0</v>
      </c>
    </row>
    <row r="256" spans="16:17" ht="15" customHeight="1" x14ac:dyDescent="0.3">
      <c r="P256" s="764"/>
      <c r="Q256" s="769">
        <f t="shared" si="55"/>
        <v>0</v>
      </c>
    </row>
    <row r="257" spans="16:17" ht="15" customHeight="1" x14ac:dyDescent="0.3">
      <c r="P257" s="764"/>
      <c r="Q257" s="769">
        <f t="shared" si="55"/>
        <v>0</v>
      </c>
    </row>
    <row r="258" spans="16:17" ht="15" customHeight="1" x14ac:dyDescent="0.3">
      <c r="P258" s="764"/>
      <c r="Q258" s="769">
        <f t="shared" si="55"/>
        <v>0</v>
      </c>
    </row>
    <row r="259" spans="16:17" ht="15" customHeight="1" x14ac:dyDescent="0.3">
      <c r="P259" s="764"/>
      <c r="Q259" s="769">
        <f t="shared" si="55"/>
        <v>0</v>
      </c>
    </row>
    <row r="260" spans="16:17" ht="15" customHeight="1" x14ac:dyDescent="0.3">
      <c r="P260" s="764"/>
      <c r="Q260" s="769">
        <f t="shared" si="55"/>
        <v>0</v>
      </c>
    </row>
    <row r="261" spans="16:17" ht="15" customHeight="1" x14ac:dyDescent="0.3">
      <c r="P261" s="764"/>
      <c r="Q261" s="769">
        <f t="shared" si="55"/>
        <v>0</v>
      </c>
    </row>
    <row r="262" spans="16:17" ht="15" customHeight="1" x14ac:dyDescent="0.3">
      <c r="P262" s="764"/>
      <c r="Q262" s="769">
        <f t="shared" si="55"/>
        <v>0</v>
      </c>
    </row>
    <row r="263" spans="16:17" ht="15" customHeight="1" x14ac:dyDescent="0.3">
      <c r="P263" s="764"/>
      <c r="Q263" s="769">
        <f t="shared" si="55"/>
        <v>0</v>
      </c>
    </row>
    <row r="264" spans="16:17" ht="15" customHeight="1" x14ac:dyDescent="0.3">
      <c r="P264" s="764"/>
      <c r="Q264" s="769">
        <f t="shared" si="55"/>
        <v>0</v>
      </c>
    </row>
    <row r="265" spans="16:17" ht="15" customHeight="1" x14ac:dyDescent="0.3">
      <c r="P265" s="764"/>
      <c r="Q265" s="769">
        <f t="shared" si="55"/>
        <v>0</v>
      </c>
    </row>
    <row r="266" spans="16:17" ht="15" customHeight="1" x14ac:dyDescent="0.3">
      <c r="P266" s="764"/>
      <c r="Q266" s="769">
        <f t="shared" si="55"/>
        <v>0</v>
      </c>
    </row>
    <row r="267" spans="16:17" ht="15" customHeight="1" x14ac:dyDescent="0.3">
      <c r="P267" s="765"/>
      <c r="Q267" s="769"/>
    </row>
    <row r="268" spans="16:17" ht="15" customHeight="1" x14ac:dyDescent="0.3">
      <c r="P268" s="765"/>
      <c r="Q268" s="769"/>
    </row>
    <row r="269" spans="16:17" ht="15" customHeight="1" x14ac:dyDescent="0.3">
      <c r="P269" s="765"/>
      <c r="Q269" s="769"/>
    </row>
    <row r="270" spans="16:17" ht="15" customHeight="1" x14ac:dyDescent="0.3">
      <c r="P270" s="764"/>
      <c r="Q270" s="769">
        <f t="shared" ref="Q270" si="56">L270-O270-P270</f>
        <v>0</v>
      </c>
    </row>
    <row r="271" spans="16:17" ht="15" customHeight="1" x14ac:dyDescent="0.3">
      <c r="P271" s="764"/>
      <c r="Q271" s="769">
        <f>L271-O271-P271</f>
        <v>0</v>
      </c>
    </row>
    <row r="272" spans="16:17" ht="15" customHeight="1" x14ac:dyDescent="0.3">
      <c r="P272" s="764"/>
      <c r="Q272" s="769">
        <f t="shared" ref="Q272:Q290" si="57">L272-O272-P272</f>
        <v>0</v>
      </c>
    </row>
    <row r="273" spans="16:17" ht="15" customHeight="1" x14ac:dyDescent="0.3">
      <c r="P273" s="764"/>
      <c r="Q273" s="769">
        <f t="shared" si="57"/>
        <v>0</v>
      </c>
    </row>
    <row r="274" spans="16:17" ht="15" customHeight="1" x14ac:dyDescent="0.3">
      <c r="P274" s="764"/>
      <c r="Q274" s="769">
        <f t="shared" si="57"/>
        <v>0</v>
      </c>
    </row>
    <row r="275" spans="16:17" ht="15" customHeight="1" x14ac:dyDescent="0.3">
      <c r="P275" s="764"/>
      <c r="Q275" s="769">
        <f t="shared" si="57"/>
        <v>0</v>
      </c>
    </row>
    <row r="276" spans="16:17" ht="15" customHeight="1" x14ac:dyDescent="0.3">
      <c r="P276" s="764"/>
      <c r="Q276" s="769">
        <f t="shared" si="57"/>
        <v>0</v>
      </c>
    </row>
    <row r="277" spans="16:17" ht="15" customHeight="1" x14ac:dyDescent="0.3">
      <c r="P277" s="764"/>
      <c r="Q277" s="769">
        <f t="shared" si="57"/>
        <v>0</v>
      </c>
    </row>
    <row r="278" spans="16:17" ht="15" customHeight="1" x14ac:dyDescent="0.3">
      <c r="P278" s="764"/>
      <c r="Q278" s="769">
        <f t="shared" si="57"/>
        <v>0</v>
      </c>
    </row>
    <row r="279" spans="16:17" ht="15" customHeight="1" x14ac:dyDescent="0.3">
      <c r="P279" s="764"/>
      <c r="Q279" s="769">
        <f t="shared" si="57"/>
        <v>0</v>
      </c>
    </row>
    <row r="280" spans="16:17" ht="15" customHeight="1" x14ac:dyDescent="0.3">
      <c r="P280" s="764"/>
      <c r="Q280" s="769">
        <f t="shared" si="57"/>
        <v>0</v>
      </c>
    </row>
    <row r="281" spans="16:17" ht="15" customHeight="1" x14ac:dyDescent="0.3">
      <c r="P281" s="764"/>
      <c r="Q281" s="769">
        <f t="shared" si="57"/>
        <v>0</v>
      </c>
    </row>
    <row r="282" spans="16:17" ht="15" customHeight="1" x14ac:dyDescent="0.3">
      <c r="P282" s="764"/>
      <c r="Q282" s="769">
        <f t="shared" si="57"/>
        <v>0</v>
      </c>
    </row>
    <row r="283" spans="16:17" ht="15" customHeight="1" x14ac:dyDescent="0.3">
      <c r="P283" s="764"/>
      <c r="Q283" s="769">
        <f t="shared" si="57"/>
        <v>0</v>
      </c>
    </row>
    <row r="284" spans="16:17" ht="15" customHeight="1" x14ac:dyDescent="0.3">
      <c r="P284" s="764"/>
      <c r="Q284" s="769">
        <f t="shared" si="57"/>
        <v>0</v>
      </c>
    </row>
    <row r="285" spans="16:17" ht="15" customHeight="1" x14ac:dyDescent="0.3">
      <c r="P285" s="764"/>
      <c r="Q285" s="769">
        <f t="shared" si="57"/>
        <v>0</v>
      </c>
    </row>
    <row r="286" spans="16:17" ht="15" customHeight="1" x14ac:dyDescent="0.3">
      <c r="P286" s="764"/>
      <c r="Q286" s="769">
        <f t="shared" si="57"/>
        <v>0</v>
      </c>
    </row>
    <row r="287" spans="16:17" ht="15" customHeight="1" x14ac:dyDescent="0.3">
      <c r="P287" s="764"/>
      <c r="Q287" s="769">
        <f t="shared" si="57"/>
        <v>0</v>
      </c>
    </row>
    <row r="288" spans="16:17" ht="15" customHeight="1" x14ac:dyDescent="0.3">
      <c r="P288" s="764"/>
      <c r="Q288" s="769">
        <f t="shared" si="57"/>
        <v>0</v>
      </c>
    </row>
    <row r="289" spans="16:17" ht="15" customHeight="1" x14ac:dyDescent="0.3">
      <c r="P289" s="764"/>
      <c r="Q289" s="769">
        <f t="shared" si="57"/>
        <v>0</v>
      </c>
    </row>
    <row r="290" spans="16:17" ht="15" customHeight="1" x14ac:dyDescent="0.3">
      <c r="P290" s="764"/>
      <c r="Q290" s="769">
        <f t="shared" si="57"/>
        <v>0</v>
      </c>
    </row>
    <row r="291" spans="16:17" ht="15" customHeight="1" x14ac:dyDescent="0.3">
      <c r="P291" s="765"/>
      <c r="Q291" s="769"/>
    </row>
    <row r="292" spans="16:17" ht="15" customHeight="1" x14ac:dyDescent="0.3">
      <c r="P292" s="765"/>
      <c r="Q292" s="769"/>
    </row>
    <row r="293" spans="16:17" ht="15" customHeight="1" x14ac:dyDescent="0.3">
      <c r="P293" s="765"/>
      <c r="Q293" s="769"/>
    </row>
  </sheetData>
  <autoFilter ref="A1:T203" xr:uid="{00000000-0009-0000-0000-00000B000000}"/>
  <phoneticPr fontId="48" type="noConversion"/>
  <conditionalFormatting sqref="A180:A184">
    <cfRule type="cellIs" dxfId="354" priority="63" stopIfTrue="1" operator="lessThan">
      <formula>0</formula>
    </cfRule>
  </conditionalFormatting>
  <conditionalFormatting sqref="A206:C211 E206:E211">
    <cfRule type="cellIs" dxfId="353" priority="87" stopIfTrue="1" operator="lessThan">
      <formula>0</formula>
    </cfRule>
  </conditionalFormatting>
  <conditionalFormatting sqref="R51:AC103 E74:J78 F89:L90 N90:O90 F91:O91 E91:K95 F92:L92 N92:O92 F93:O98 A99:O103 F113:K114 M113:O114 A113:E134 R113:AC134 F115:O134 A135:A136 A139:A148 A149:O156 R149:AC156 A157 A158:O158 R158:AC158 A159:A161 A162:O176 R162:R178 A177:M179 F179:O179 E185:K203 A185:E205 F185:O211 R185:AC211 A52:E98 F52:O88 T1:AC50 A51:O51">
    <cfRule type="cellIs" dxfId="352" priority="86" stopIfTrue="1" operator="lessThan">
      <formula>0</formula>
    </cfRule>
  </conditionalFormatting>
  <conditionalFormatting sqref="M51:O51">
    <cfRule type="cellIs" dxfId="351" priority="88" stopIfTrue="1" operator="lessThan">
      <formula>0</formula>
    </cfRule>
  </conditionalFormatting>
  <conditionalFormatting sqref="R51:R60 E51:K51">
    <cfRule type="cellIs" dxfId="350" priority="89" stopIfTrue="1" operator="lessThan">
      <formula>0</formula>
    </cfRule>
  </conditionalFormatting>
  <conditionalFormatting sqref="E98:K98 M98:O98 R98">
    <cfRule type="cellIs" dxfId="349" priority="90" stopIfTrue="1" operator="lessThan">
      <formula>0</formula>
    </cfRule>
  </conditionalFormatting>
  <conditionalFormatting sqref="E174:O176">
    <cfRule type="cellIs" dxfId="348" priority="98" stopIfTrue="1" operator="lessThan">
      <formula>0</formula>
    </cfRule>
  </conditionalFormatting>
  <conditionalFormatting sqref="I59:K61 E59:H73 K62:K64 I62:J67 K65:O67 R65:R73">
    <cfRule type="cellIs" dxfId="347" priority="99" stopIfTrue="1" operator="lessThan">
      <formula>0</formula>
    </cfRule>
  </conditionalFormatting>
  <conditionalFormatting sqref="I68:O68 L69:M69 N69:O72 I69:K73 M70:M72">
    <cfRule type="cellIs" dxfId="346" priority="100" stopIfTrue="1" operator="lessThan">
      <formula>0</formula>
    </cfRule>
  </conditionalFormatting>
  <conditionalFormatting sqref="K150:K152 E150:J155 K153:O155 M162:O170 E162:K173 L171:O173 M198:O200 L201:O203 R201:R203">
    <cfRule type="cellIs" dxfId="345" priority="101" stopIfTrue="1" operator="lessThan">
      <formula>0</formula>
    </cfRule>
  </conditionalFormatting>
  <conditionalFormatting sqref="L51">
    <cfRule type="cellIs" dxfId="344" priority="117" stopIfTrue="1" operator="lessThan">
      <formula>0</formula>
    </cfRule>
  </conditionalFormatting>
  <conditionalFormatting sqref="K55:M56 E55:J58 N55:O58 K57:K58 M57:M58">
    <cfRule type="cellIs" dxfId="343" priority="118" stopIfTrue="1" operator="lessThan">
      <formula>0</formula>
    </cfRule>
  </conditionalFormatting>
  <conditionalFormatting sqref="K52:O54">
    <cfRule type="cellIs" dxfId="342" priority="103" stopIfTrue="1" operator="lessThan">
      <formula>0</formula>
    </cfRule>
  </conditionalFormatting>
  <conditionalFormatting sqref="K76:O78">
    <cfRule type="cellIs" dxfId="341" priority="104" stopIfTrue="1" operator="lessThan">
      <formula>0</formula>
    </cfRule>
  </conditionalFormatting>
  <conditionalFormatting sqref="K100:O102">
    <cfRule type="cellIs" dxfId="340" priority="105" stopIfTrue="1" operator="lessThan">
      <formula>0</formula>
    </cfRule>
  </conditionalFormatting>
  <conditionalFormatting sqref="L104:L114">
    <cfRule type="cellIs" dxfId="339" priority="106" stopIfTrue="1" operator="lessThan">
      <formula>0</formula>
    </cfRule>
  </conditionalFormatting>
  <conditionalFormatting sqref="L135:L152">
    <cfRule type="cellIs" dxfId="338" priority="96" stopIfTrue="1" operator="lessThan">
      <formula>0</formula>
    </cfRule>
  </conditionalFormatting>
  <conditionalFormatting sqref="L180:L184">
    <cfRule type="cellIs" dxfId="337" priority="64" stopIfTrue="1" operator="lessThan">
      <formula>0</formula>
    </cfRule>
  </conditionalFormatting>
  <conditionalFormatting sqref="L130:O132">
    <cfRule type="cellIs" dxfId="336" priority="107" stopIfTrue="1" operator="lessThan">
      <formula>0</formula>
    </cfRule>
  </conditionalFormatting>
  <conditionalFormatting sqref="M97">
    <cfRule type="cellIs" dxfId="335" priority="109" stopIfTrue="1" operator="lessThan">
      <formula>0</formula>
    </cfRule>
  </conditionalFormatting>
  <conditionalFormatting sqref="M175:M179">
    <cfRule type="cellIs" dxfId="334" priority="79" stopIfTrue="1" operator="lessThan">
      <formula>0</formula>
    </cfRule>
  </conditionalFormatting>
  <conditionalFormatting sqref="M59:O60">
    <cfRule type="cellIs" dxfId="333" priority="110" stopIfTrue="1" operator="lessThan">
      <formula>0</formula>
    </cfRule>
  </conditionalFormatting>
  <conditionalFormatting sqref="M71:O71">
    <cfRule type="cellIs" dxfId="332" priority="111" stopIfTrue="1" operator="lessThan">
      <formula>0</formula>
    </cfRule>
  </conditionalFormatting>
  <conditionalFormatting sqref="M73:O73">
    <cfRule type="cellIs" dxfId="331" priority="112" stopIfTrue="1" operator="lessThan">
      <formula>0</formula>
    </cfRule>
  </conditionalFormatting>
  <conditionalFormatting sqref="M81:O84 E81:K87 L85:O87">
    <cfRule type="cellIs" dxfId="330" priority="113" stopIfTrue="1" operator="lessThan">
      <formula>0</formula>
    </cfRule>
  </conditionalFormatting>
  <conditionalFormatting sqref="N185:O197">
    <cfRule type="cellIs" dxfId="329" priority="115" stopIfTrue="1" operator="lessThan">
      <formula>0</formula>
    </cfRule>
  </conditionalFormatting>
  <conditionalFormatting sqref="M21">
    <cfRule type="cellIs" dxfId="328" priority="22" stopIfTrue="1" operator="lessThan">
      <formula>0</formula>
    </cfRule>
  </conditionalFormatting>
  <conditionalFormatting sqref="K43:M45 N43:O48 R43:R49 K46:K48 M46:M48 L46:L50 E43:J48">
    <cfRule type="cellIs" dxfId="327" priority="24" stopIfTrue="1" operator="lessThan">
      <formula>0</formula>
    </cfRule>
  </conditionalFormatting>
  <conditionalFormatting sqref="P51:Q79 P79:P98 Q80:Q98">
    <cfRule type="cellIs" dxfId="326" priority="36" stopIfTrue="1" operator="lessThan">
      <formula>0</formula>
    </cfRule>
  </conditionalFormatting>
  <conditionalFormatting sqref="P99:Q127 P126:P146 Q128:Q146">
    <cfRule type="cellIs" dxfId="325" priority="33" stopIfTrue="1" operator="lessThan">
      <formula>0</formula>
    </cfRule>
  </conditionalFormatting>
  <conditionalFormatting sqref="P147:Q151 P151:P170 Q152:Q170">
    <cfRule type="cellIs" dxfId="324" priority="31" stopIfTrue="1" operator="lessThan">
      <formula>0</formula>
    </cfRule>
  </conditionalFormatting>
  <conditionalFormatting sqref="P171:Q293">
    <cfRule type="cellIs" dxfId="323" priority="26" stopIfTrue="1" operator="lessThan">
      <formula>0</formula>
    </cfRule>
  </conditionalFormatting>
  <conditionalFormatting sqref="R76:R79 E79:O79">
    <cfRule type="cellIs" dxfId="322" priority="93" stopIfTrue="1" operator="lessThan">
      <formula>0</formula>
    </cfRule>
  </conditionalFormatting>
  <conditionalFormatting sqref="R81:R88 E88:O88 L89:L93">
    <cfRule type="cellIs" dxfId="321" priority="94" stopIfTrue="1" operator="lessThan">
      <formula>0</formula>
    </cfRule>
  </conditionalFormatting>
  <conditionalFormatting sqref="R100:R103 E103:O103">
    <cfRule type="cellIs" dxfId="320" priority="95" stopIfTrue="1" operator="lessThan">
      <formula>0</formula>
    </cfRule>
  </conditionalFormatting>
  <conditionalFormatting sqref="R130:R134 E133:O134 A137:K138 M137:O138 R137:AC138 E149:K149">
    <cfRule type="cellIs" dxfId="319" priority="92" stopIfTrue="1" operator="lessThan">
      <formula>0</formula>
    </cfRule>
  </conditionalFormatting>
  <conditionalFormatting sqref="R141">
    <cfRule type="cellIs" dxfId="318" priority="75" stopIfTrue="1" operator="lessThan">
      <formula>0</formula>
    </cfRule>
  </conditionalFormatting>
  <conditionalFormatting sqref="R143">
    <cfRule type="cellIs" dxfId="317" priority="129" stopIfTrue="1" operator="lessThan">
      <formula>0</formula>
    </cfRule>
  </conditionalFormatting>
  <conditionalFormatting sqref="R153:R156 E156:O156 L157:L170">
    <cfRule type="cellIs" dxfId="316" priority="97" stopIfTrue="1" operator="lessThan">
      <formula>0</formula>
    </cfRule>
  </conditionalFormatting>
  <conditionalFormatting sqref="R162:AC179 N177:O178">
    <cfRule type="cellIs" dxfId="315" priority="80" stopIfTrue="1" operator="lessThan">
      <formula>0</formula>
    </cfRule>
  </conditionalFormatting>
  <conditionalFormatting sqref="A30">
    <cfRule type="cellIs" dxfId="314" priority="8" stopIfTrue="1" operator="lessThan">
      <formula>0</formula>
    </cfRule>
  </conditionalFormatting>
  <conditionalFormatting sqref="A7:A8">
    <cfRule type="cellIs" dxfId="313" priority="16" stopIfTrue="1" operator="lessThan">
      <formula>0</formula>
    </cfRule>
  </conditionalFormatting>
  <conditionalFormatting sqref="B7:D8 B9:B11">
    <cfRule type="expression" dxfId="312" priority="17" stopIfTrue="1">
      <formula>AND(B7&lt;TODAY(), TODAY()-B7&gt;=WEEKDAY(TODAY()), TODAY()-B7&lt;WEEKDAY(TODAY())+7)</formula>
    </cfRule>
  </conditionalFormatting>
  <conditionalFormatting sqref="A1:E6 R1:S50 A13:E18 B7:E12 A20:E29 C19:E19 C30:D30 F1:O29 A31:D39 E30:O39 A40:O43 B49:O50 C44:O48">
    <cfRule type="cellIs" dxfId="311" priority="18" stopIfTrue="1" operator="lessThan">
      <formula>0</formula>
    </cfRule>
  </conditionalFormatting>
  <conditionalFormatting sqref="M49:O50 E49:K49">
    <cfRule type="cellIs" dxfId="310" priority="19" stopIfTrue="1" operator="lessThan">
      <formula>0</formula>
    </cfRule>
  </conditionalFormatting>
  <conditionalFormatting sqref="L31:L38 E29:O36">
    <cfRule type="cellIs" dxfId="309" priority="20" stopIfTrue="1" operator="lessThan">
      <formula>0</formula>
    </cfRule>
  </conditionalFormatting>
  <conditionalFormatting sqref="K18:M25 E20:E25 I20:J25 F20:H28 I26:M28">
    <cfRule type="cellIs" dxfId="308" priority="21" stopIfTrue="1" operator="lessThan">
      <formula>0</formula>
    </cfRule>
  </conditionalFormatting>
  <conditionalFormatting sqref="P7:P50 Q31:Q50">
    <cfRule type="cellIs" dxfId="307" priority="13" stopIfTrue="1" operator="lessThan">
      <formula>0</formula>
    </cfRule>
  </conditionalFormatting>
  <conditionalFormatting sqref="P2:Q7">
    <cfRule type="cellIs" dxfId="306" priority="14" stopIfTrue="1" operator="lessThan">
      <formula>0</formula>
    </cfRule>
  </conditionalFormatting>
  <conditionalFormatting sqref="Q8:Q30">
    <cfRule type="cellIs" dxfId="305" priority="15" stopIfTrue="1" operator="lessThan">
      <formula>0</formula>
    </cfRule>
  </conditionalFormatting>
  <conditionalFormatting sqref="R29:R36 L34:L39">
    <cfRule type="cellIs" dxfId="304" priority="23" stopIfTrue="1" operator="lessThan">
      <formula>0</formula>
    </cfRule>
  </conditionalFormatting>
  <conditionalFormatting sqref="A9:A12">
    <cfRule type="cellIs" dxfId="303" priority="12" stopIfTrue="1" operator="lessThan">
      <formula>0</formula>
    </cfRule>
  </conditionalFormatting>
  <conditionalFormatting sqref="B19">
    <cfRule type="cellIs" dxfId="302" priority="11" stopIfTrue="1" operator="lessThan">
      <formula>0</formula>
    </cfRule>
  </conditionalFormatting>
  <conditionalFormatting sqref="A19">
    <cfRule type="cellIs" dxfId="301" priority="10" stopIfTrue="1" operator="lessThan">
      <formula>0</formula>
    </cfRule>
  </conditionalFormatting>
  <conditionalFormatting sqref="B30">
    <cfRule type="cellIs" dxfId="300" priority="9" stopIfTrue="1" operator="lessThan">
      <formula>0</formula>
    </cfRule>
  </conditionalFormatting>
  <conditionalFormatting sqref="L30:L38">
    <cfRule type="cellIs" dxfId="299" priority="7" stopIfTrue="1" operator="lessThan">
      <formula>0</formula>
    </cfRule>
  </conditionalFormatting>
  <conditionalFormatting sqref="E44:L50">
    <cfRule type="cellIs" dxfId="298" priority="6" stopIfTrue="1" operator="lessThan">
      <formula>0</formula>
    </cfRule>
  </conditionalFormatting>
  <conditionalFormatting sqref="L44:L50">
    <cfRule type="cellIs" dxfId="297" priority="5" stopIfTrue="1" operator="lessThan">
      <formula>0</formula>
    </cfRule>
  </conditionalFormatting>
  <conditionalFormatting sqref="L44:L50">
    <cfRule type="cellIs" dxfId="296" priority="4" stopIfTrue="1" operator="lessThan">
      <formula>0</formula>
    </cfRule>
  </conditionalFormatting>
  <conditionalFormatting sqref="A49:A50">
    <cfRule type="cellIs" dxfId="295" priority="2" stopIfTrue="1" operator="lessThan">
      <formula>0</formula>
    </cfRule>
  </conditionalFormatting>
  <conditionalFormatting sqref="B44:B48">
    <cfRule type="cellIs" dxfId="294" priority="3" stopIfTrue="1" operator="lessThan">
      <formula>0</formula>
    </cfRule>
  </conditionalFormatting>
  <conditionalFormatting sqref="A44:A48">
    <cfRule type="cellIs" dxfId="293" priority="1" stopIfTrue="1" operator="lessThan">
      <formula>0</formula>
    </cfRule>
  </conditionalFormatting>
  <pageMargins left="0.7" right="0.7" top="0.75" bottom="0.75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31"/>
  <sheetViews>
    <sheetView zoomScaleNormal="100" workbookViewId="0">
      <pane xSplit="3" ySplit="5" topLeftCell="H6" activePane="bottomRight" state="frozen"/>
      <selection activeCell="E13" sqref="E13"/>
      <selection pane="topRight" activeCell="E13" sqref="E13"/>
      <selection pane="bottomLeft" activeCell="E13" sqref="E13"/>
      <selection pane="bottomRight" activeCell="F16" sqref="F16:L18"/>
    </sheetView>
  </sheetViews>
  <sheetFormatPr defaultColWidth="14.42578125" defaultRowHeight="15" customHeight="1" x14ac:dyDescent="0.3"/>
  <cols>
    <col min="1" max="1" width="15.140625" style="1012" customWidth="1"/>
    <col min="2" max="2" width="14.140625" style="1012" customWidth="1"/>
    <col min="3" max="3" width="13" style="1012" customWidth="1"/>
    <col min="4" max="4" width="62.140625" style="1012" customWidth="1"/>
    <col min="5" max="6" width="37.85546875" style="1012" customWidth="1"/>
    <col min="7" max="7" width="45.28515625" style="1012" customWidth="1"/>
    <col min="8" max="8" width="38.85546875" style="1012" customWidth="1"/>
    <col min="9" max="9" width="38.7109375" style="1012" customWidth="1"/>
    <col min="10" max="10" width="17.140625" style="1012" customWidth="1"/>
    <col min="11" max="11" width="18" style="1012" customWidth="1"/>
    <col min="12" max="26" width="8.7109375" style="1012" customWidth="1"/>
    <col min="27" max="16384" width="14.42578125" style="1012"/>
  </cols>
  <sheetData>
    <row r="1" spans="1:10" ht="18.75" customHeight="1" x14ac:dyDescent="0.3">
      <c r="A1" s="3"/>
      <c r="B1" s="27"/>
      <c r="C1" s="27"/>
      <c r="D1" s="29" t="s">
        <v>358</v>
      </c>
      <c r="E1" s="4"/>
      <c r="F1" s="4"/>
      <c r="G1" s="4"/>
      <c r="H1" s="4"/>
      <c r="I1" s="4"/>
      <c r="J1" s="4"/>
    </row>
    <row r="2" spans="1:10" ht="58.5" customHeight="1" x14ac:dyDescent="0.3">
      <c r="A2" s="1110" t="s">
        <v>201</v>
      </c>
      <c r="B2" s="1109" t="s">
        <v>202</v>
      </c>
      <c r="C2" s="1109" t="s">
        <v>203</v>
      </c>
      <c r="D2" s="1109" t="s">
        <v>77</v>
      </c>
      <c r="E2" s="144" t="s">
        <v>1275</v>
      </c>
      <c r="F2" s="144" t="s">
        <v>1426</v>
      </c>
      <c r="G2" s="1139" t="s">
        <v>1430</v>
      </c>
      <c r="H2" s="1139" t="s">
        <v>1431</v>
      </c>
      <c r="I2" s="1139" t="s">
        <v>1432</v>
      </c>
      <c r="J2" s="1110" t="s">
        <v>208</v>
      </c>
    </row>
    <row r="3" spans="1:10" ht="18.75" customHeight="1" x14ac:dyDescent="0.3">
      <c r="A3" s="1140"/>
      <c r="B3" s="13"/>
      <c r="C3" s="1043"/>
      <c r="D3" s="15" t="s">
        <v>209</v>
      </c>
      <c r="E3" s="914">
        <v>0</v>
      </c>
      <c r="F3" s="914">
        <v>0</v>
      </c>
      <c r="G3" s="914">
        <v>0</v>
      </c>
      <c r="H3" s="914">
        <v>0</v>
      </c>
      <c r="I3" s="914">
        <v>0</v>
      </c>
      <c r="J3" s="914">
        <f>SUM(F3:I3)</f>
        <v>0</v>
      </c>
    </row>
    <row r="4" spans="1:10" ht="18.75" customHeight="1" x14ac:dyDescent="0.3">
      <c r="A4" s="1141"/>
      <c r="B4" s="20"/>
      <c r="C4" s="1046"/>
      <c r="D4" s="22" t="s">
        <v>210</v>
      </c>
      <c r="E4" s="145">
        <f>'[1]รวมใบกัน พ.ย. 67'!B129</f>
        <v>69000</v>
      </c>
      <c r="F4" s="145">
        <f>'[1]รวมใบกัน พ.ย. 67'!B130</f>
        <v>4342000</v>
      </c>
      <c r="G4" s="145">
        <f>'[1]รวมใบกัน พ.ย. 67'!B131</f>
        <v>16500000</v>
      </c>
      <c r="H4" s="145">
        <f>'[1]รวมใบกัน พ.ย. 67'!B132</f>
        <v>25270000</v>
      </c>
      <c r="I4" s="145">
        <f>'[1]รวมใบกัน พ.ย. 67'!B133</f>
        <v>81390000</v>
      </c>
      <c r="J4" s="915">
        <f>SUM(E4:I4)</f>
        <v>127571000</v>
      </c>
    </row>
    <row r="5" spans="1:10" ht="18.75" customHeight="1" x14ac:dyDescent="0.3">
      <c r="A5" s="1141"/>
      <c r="B5" s="20"/>
      <c r="C5" s="1046"/>
      <c r="D5" s="22" t="s">
        <v>211</v>
      </c>
      <c r="E5" s="915"/>
      <c r="F5" s="915"/>
      <c r="G5" s="915"/>
      <c r="H5" s="915"/>
      <c r="I5" s="915"/>
      <c r="J5" s="915"/>
    </row>
    <row r="6" spans="1:10" ht="18.75" customHeight="1" x14ac:dyDescent="0.3">
      <c r="A6" s="1119" t="s">
        <v>212</v>
      </c>
      <c r="B6" s="27"/>
      <c r="C6" s="1028"/>
      <c r="D6" s="29"/>
      <c r="E6" s="1029"/>
      <c r="F6" s="1029"/>
      <c r="G6" s="1029"/>
      <c r="H6" s="1029"/>
      <c r="I6" s="1029"/>
      <c r="J6" s="1094"/>
    </row>
    <row r="7" spans="1:10" ht="18.75" customHeight="1" x14ac:dyDescent="0.3">
      <c r="A7" s="957">
        <v>45575</v>
      </c>
      <c r="B7" s="965"/>
      <c r="C7" s="42"/>
      <c r="D7" s="967"/>
      <c r="E7" s="969"/>
      <c r="F7" s="969">
        <v>4342000</v>
      </c>
      <c r="G7" s="966">
        <v>16500000</v>
      </c>
      <c r="H7" s="897">
        <v>25270000</v>
      </c>
      <c r="I7" s="973">
        <v>81390000</v>
      </c>
      <c r="J7" s="915">
        <f>SUM(E7:I7)</f>
        <v>127502000</v>
      </c>
    </row>
    <row r="8" spans="1:10" ht="18.75" customHeight="1" x14ac:dyDescent="0.3">
      <c r="A8" s="957"/>
      <c r="B8" s="965"/>
      <c r="C8" s="42"/>
      <c r="D8" s="967"/>
      <c r="E8" s="970"/>
      <c r="F8" s="970"/>
      <c r="G8" s="970"/>
      <c r="H8" s="972"/>
      <c r="I8" s="972"/>
      <c r="J8" s="974"/>
    </row>
    <row r="9" spans="1:10" ht="18.75" x14ac:dyDescent="0.3">
      <c r="A9" s="957"/>
      <c r="B9" s="965"/>
      <c r="C9" s="42"/>
      <c r="D9" s="968"/>
      <c r="E9" s="971"/>
      <c r="F9" s="971"/>
      <c r="G9" s="971"/>
      <c r="H9" s="968"/>
      <c r="I9" s="968"/>
      <c r="J9" s="971"/>
    </row>
    <row r="10" spans="1:10" ht="18.75" x14ac:dyDescent="0.3">
      <c r="A10" s="957"/>
      <c r="B10" s="965"/>
      <c r="C10" s="42"/>
      <c r="D10" s="968"/>
      <c r="E10" s="971"/>
      <c r="F10" s="971"/>
      <c r="G10" s="971"/>
      <c r="H10" s="968"/>
      <c r="I10" s="968"/>
      <c r="J10" s="971"/>
    </row>
    <row r="11" spans="1:10" ht="15" customHeight="1" x14ac:dyDescent="0.3">
      <c r="A11" s="957"/>
      <c r="B11" s="965"/>
      <c r="C11" s="42"/>
      <c r="D11" s="968"/>
      <c r="E11" s="971"/>
      <c r="F11" s="971"/>
      <c r="G11" s="971"/>
      <c r="H11" s="968"/>
      <c r="I11" s="968"/>
      <c r="J11" s="971"/>
    </row>
    <row r="12" spans="1:10" ht="15" customHeight="1" x14ac:dyDescent="0.3">
      <c r="A12" s="957"/>
      <c r="B12" s="965"/>
      <c r="C12" s="42"/>
      <c r="D12" s="968"/>
      <c r="E12" s="971"/>
      <c r="F12" s="971"/>
      <c r="G12" s="971"/>
      <c r="H12" s="968"/>
      <c r="I12" s="968"/>
      <c r="J12" s="971"/>
    </row>
    <row r="13" spans="1:10" ht="15" customHeight="1" x14ac:dyDescent="0.3">
      <c r="A13" s="957"/>
      <c r="B13" s="965"/>
      <c r="C13" s="42"/>
      <c r="D13" s="968"/>
      <c r="E13" s="971"/>
      <c r="F13" s="971"/>
      <c r="G13" s="971"/>
      <c r="H13" s="968"/>
      <c r="I13" s="968"/>
      <c r="J13" s="971"/>
    </row>
    <row r="14" spans="1:10" ht="15" customHeight="1" x14ac:dyDescent="0.3">
      <c r="A14" s="957"/>
      <c r="B14" s="965"/>
      <c r="C14" s="42"/>
      <c r="D14" s="968"/>
      <c r="E14" s="971"/>
      <c r="F14" s="971"/>
      <c r="G14" s="971"/>
      <c r="H14" s="968"/>
      <c r="I14" s="968"/>
      <c r="J14" s="971"/>
    </row>
    <row r="15" spans="1:10" ht="15" customHeight="1" x14ac:dyDescent="0.3">
      <c r="A15" s="1128"/>
      <c r="B15" s="965"/>
      <c r="C15" s="42"/>
      <c r="D15" s="968"/>
      <c r="E15" s="971"/>
      <c r="F15" s="971"/>
      <c r="G15" s="971"/>
      <c r="H15" s="968"/>
      <c r="I15" s="968"/>
      <c r="J15" s="971"/>
    </row>
    <row r="16" spans="1:10" ht="15" customHeight="1" x14ac:dyDescent="0.3">
      <c r="A16" s="1128"/>
      <c r="B16" s="965"/>
      <c r="C16" s="42"/>
      <c r="D16" s="968"/>
      <c r="E16" s="971"/>
      <c r="F16" s="971"/>
      <c r="G16" s="971"/>
      <c r="H16" s="968"/>
      <c r="I16" s="968"/>
      <c r="J16" s="971"/>
    </row>
    <row r="17" spans="1:10" ht="15" customHeight="1" x14ac:dyDescent="0.3">
      <c r="A17" s="1128"/>
      <c r="B17" s="965"/>
      <c r="C17" s="42"/>
      <c r="D17" s="968"/>
      <c r="E17" s="971"/>
      <c r="F17" s="971"/>
      <c r="G17" s="971"/>
      <c r="H17" s="968"/>
      <c r="I17" s="968"/>
      <c r="J17" s="971"/>
    </row>
    <row r="18" spans="1:10" ht="15" customHeight="1" x14ac:dyDescent="0.3">
      <c r="A18" s="1128"/>
      <c r="B18" s="965"/>
      <c r="C18" s="42"/>
      <c r="D18" s="968"/>
      <c r="E18" s="971"/>
      <c r="F18" s="971"/>
      <c r="G18" s="971"/>
      <c r="H18" s="968"/>
      <c r="I18" s="968"/>
      <c r="J18" s="971"/>
    </row>
    <row r="19" spans="1:10" ht="18.75" customHeight="1" x14ac:dyDescent="0.3">
      <c r="A19" s="148"/>
      <c r="B19" s="51"/>
      <c r="C19" s="51"/>
      <c r="D19" s="149" t="s">
        <v>213</v>
      </c>
      <c r="E19" s="150">
        <f>SUM(E6:E18)</f>
        <v>0</v>
      </c>
      <c r="F19" s="150">
        <f>SUM(F6:F18)</f>
        <v>4342000</v>
      </c>
      <c r="G19" s="150">
        <f>SUM(G6:G18)</f>
        <v>16500000</v>
      </c>
      <c r="H19" s="150">
        <f>SUM(H6:H18)</f>
        <v>25270000</v>
      </c>
      <c r="I19" s="150">
        <f>SUM(I6:I18)</f>
        <v>81390000</v>
      </c>
      <c r="J19" s="150">
        <f>SUM(F19:I19)</f>
        <v>127502000</v>
      </c>
    </row>
    <row r="20" spans="1:10" ht="18.75" customHeight="1" x14ac:dyDescent="0.3">
      <c r="A20" s="148"/>
      <c r="B20" s="51"/>
      <c r="C20" s="51"/>
      <c r="D20" s="149" t="s">
        <v>341</v>
      </c>
      <c r="E20" s="150">
        <f>SUM(E3+E19)</f>
        <v>0</v>
      </c>
      <c r="F20" s="150">
        <f>SUM(F3+F19)</f>
        <v>4342000</v>
      </c>
      <c r="G20" s="150">
        <f>SUM(G3+G19)</f>
        <v>16500000</v>
      </c>
      <c r="H20" s="150">
        <f>SUM(H3+H19)</f>
        <v>25270000</v>
      </c>
      <c r="I20" s="150">
        <f>SUM(I3+I19)</f>
        <v>81390000</v>
      </c>
      <c r="J20" s="150">
        <f>SUM(F20:I20)</f>
        <v>127502000</v>
      </c>
    </row>
    <row r="21" spans="1:10" ht="18.75" customHeight="1" x14ac:dyDescent="0.3">
      <c r="A21" s="151"/>
      <c r="B21" s="58"/>
      <c r="C21" s="58"/>
      <c r="D21" s="152" t="s">
        <v>210</v>
      </c>
      <c r="E21" s="153">
        <f>SUM(E4-E19)</f>
        <v>69000</v>
      </c>
      <c r="F21" s="153">
        <f>SUM(F4-F19)</f>
        <v>0</v>
      </c>
      <c r="G21" s="153">
        <f>SUM(G4-G19)</f>
        <v>0</v>
      </c>
      <c r="H21" s="153">
        <f>SUM(H4-H19)</f>
        <v>0</v>
      </c>
      <c r="I21" s="153">
        <f>SUM(I4-I19)</f>
        <v>0</v>
      </c>
      <c r="J21" s="153">
        <f>SUM(E21:I21)</f>
        <v>69000</v>
      </c>
    </row>
    <row r="22" spans="1:10" ht="18.75" customHeight="1" x14ac:dyDescent="0.3">
      <c r="A22" s="1127" t="s">
        <v>216</v>
      </c>
      <c r="B22" s="42"/>
      <c r="C22" s="955"/>
      <c r="D22" s="41"/>
      <c r="E22" s="684"/>
      <c r="F22" s="684"/>
      <c r="G22" s="684"/>
      <c r="H22" s="684"/>
      <c r="I22" s="684"/>
      <c r="J22" s="1095"/>
    </row>
    <row r="23" spans="1:10" ht="18.75" customHeight="1" x14ac:dyDescent="0.3">
      <c r="A23" s="1128"/>
      <c r="B23" s="42"/>
      <c r="C23" s="955"/>
      <c r="D23" s="41"/>
      <c r="E23" s="684"/>
      <c r="F23" s="684"/>
      <c r="G23" s="684"/>
      <c r="H23" s="684"/>
      <c r="I23" s="684"/>
      <c r="J23" s="1095"/>
    </row>
    <row r="24" spans="1:10" ht="18.75" customHeight="1" x14ac:dyDescent="0.3">
      <c r="A24" s="1128"/>
      <c r="B24" s="42"/>
      <c r="C24" s="955"/>
      <c r="D24" s="41"/>
      <c r="E24" s="684"/>
      <c r="F24" s="684"/>
      <c r="G24" s="684"/>
      <c r="H24" s="684"/>
      <c r="I24" s="684"/>
      <c r="J24" s="1095"/>
    </row>
    <row r="25" spans="1:10" ht="18.75" customHeight="1" x14ac:dyDescent="0.3">
      <c r="A25" s="1128"/>
      <c r="B25" s="42"/>
      <c r="C25" s="955"/>
      <c r="D25" s="41"/>
      <c r="E25" s="684"/>
      <c r="F25" s="684"/>
      <c r="G25" s="684"/>
      <c r="H25" s="684"/>
      <c r="I25" s="684"/>
      <c r="J25" s="1095"/>
    </row>
    <row r="26" spans="1:10" ht="18.75" customHeight="1" x14ac:dyDescent="0.3">
      <c r="A26" s="1128"/>
      <c r="B26" s="42"/>
      <c r="C26" s="955"/>
      <c r="D26" s="41"/>
      <c r="E26" s="684"/>
      <c r="F26" s="684"/>
      <c r="G26" s="684"/>
      <c r="H26" s="684"/>
      <c r="I26" s="684"/>
      <c r="J26" s="1095"/>
    </row>
    <row r="27" spans="1:10" ht="18.75" customHeight="1" x14ac:dyDescent="0.3">
      <c r="A27" s="686"/>
      <c r="B27" s="42"/>
      <c r="C27" s="955"/>
      <c r="D27" s="41"/>
      <c r="E27" s="684"/>
      <c r="F27" s="684"/>
      <c r="G27" s="684"/>
      <c r="H27" s="684"/>
      <c r="I27" s="684"/>
      <c r="J27" s="1095"/>
    </row>
    <row r="28" spans="1:10" ht="18.75" customHeight="1" x14ac:dyDescent="0.3">
      <c r="A28" s="1128"/>
      <c r="B28" s="42"/>
      <c r="C28" s="955"/>
      <c r="D28" s="41"/>
      <c r="E28" s="684"/>
      <c r="F28" s="684"/>
      <c r="G28" s="684"/>
      <c r="H28" s="684"/>
      <c r="I28" s="684"/>
      <c r="J28" s="1105"/>
    </row>
    <row r="29" spans="1:10" ht="18.75" customHeight="1" x14ac:dyDescent="0.3">
      <c r="A29" s="154"/>
      <c r="B29" s="83"/>
      <c r="C29" s="83"/>
      <c r="D29" s="155" t="s">
        <v>217</v>
      </c>
      <c r="E29" s="156">
        <f>SUM(E22:E28)</f>
        <v>0</v>
      </c>
      <c r="F29" s="156">
        <f>SUM(F22:F28)</f>
        <v>0</v>
      </c>
      <c r="G29" s="156">
        <f>SUM(G22:G28)</f>
        <v>0</v>
      </c>
      <c r="H29" s="156">
        <f>SUM(H22:H28)</f>
        <v>0</v>
      </c>
      <c r="I29" s="156">
        <f>SUM(I22:I28)</f>
        <v>0</v>
      </c>
      <c r="J29" s="156">
        <f>SUM(F29:I29)</f>
        <v>0</v>
      </c>
    </row>
    <row r="30" spans="1:10" ht="18.75" customHeight="1" x14ac:dyDescent="0.3">
      <c r="A30" s="148"/>
      <c r="B30" s="51"/>
      <c r="C30" s="51"/>
      <c r="D30" s="149" t="s">
        <v>218</v>
      </c>
      <c r="E30" s="150">
        <f>SUM(E20+E29)</f>
        <v>0</v>
      </c>
      <c r="F30" s="150">
        <f>SUM(F20+F29)</f>
        <v>4342000</v>
      </c>
      <c r="G30" s="150">
        <f>SUM(G20+G29)</f>
        <v>16500000</v>
      </c>
      <c r="H30" s="150">
        <f>SUM(H20+H29)</f>
        <v>25270000</v>
      </c>
      <c r="I30" s="150">
        <f>SUM(I20+I29)</f>
        <v>81390000</v>
      </c>
      <c r="J30" s="150">
        <f>SUM(F30:I30)</f>
        <v>127502000</v>
      </c>
    </row>
    <row r="31" spans="1:10" ht="18.75" customHeight="1" x14ac:dyDescent="0.3">
      <c r="A31" s="151"/>
      <c r="B31" s="58"/>
      <c r="C31" s="58"/>
      <c r="D31" s="152" t="s">
        <v>219</v>
      </c>
      <c r="E31" s="153">
        <f>SUM(E21-E29)</f>
        <v>69000</v>
      </c>
      <c r="F31" s="153">
        <f>SUM(F21-F29)</f>
        <v>0</v>
      </c>
      <c r="G31" s="153">
        <f>SUM(G21-G29)</f>
        <v>0</v>
      </c>
      <c r="H31" s="153">
        <f>SUM(H21-H29)</f>
        <v>0</v>
      </c>
      <c r="I31" s="153">
        <f>SUM(I21-I29)</f>
        <v>0</v>
      </c>
      <c r="J31" s="153">
        <f>SUM(E31:I31)</f>
        <v>69000</v>
      </c>
    </row>
    <row r="32" spans="1:10" ht="18.75" customHeight="1" x14ac:dyDescent="0.3">
      <c r="A32" s="1127" t="s">
        <v>220</v>
      </c>
      <c r="B32" s="42"/>
      <c r="C32" s="955"/>
      <c r="D32" s="41"/>
      <c r="E32" s="684"/>
      <c r="F32" s="684"/>
      <c r="G32" s="684"/>
      <c r="H32" s="684"/>
      <c r="I32" s="684"/>
      <c r="J32" s="1095"/>
    </row>
    <row r="39" spans="1:10" ht="18.75" customHeight="1" x14ac:dyDescent="0.3">
      <c r="A39" s="154"/>
      <c r="B39" s="83"/>
      <c r="C39" s="83"/>
      <c r="D39" s="155" t="s">
        <v>221</v>
      </c>
      <c r="E39" s="156">
        <f>SUM(E32:E38)</f>
        <v>0</v>
      </c>
      <c r="F39" s="156">
        <f>SUM(F32:F38)</f>
        <v>0</v>
      </c>
      <c r="G39" s="156">
        <f>SUM(G32:G38)</f>
        <v>0</v>
      </c>
      <c r="H39" s="156">
        <f>SUM(H32:H38)</f>
        <v>0</v>
      </c>
      <c r="I39" s="156">
        <f>SUM(I32:I38)</f>
        <v>0</v>
      </c>
      <c r="J39" s="156">
        <f>SUM(F39:I39)</f>
        <v>0</v>
      </c>
    </row>
    <row r="40" spans="1:10" ht="18.75" customHeight="1" x14ac:dyDescent="0.3">
      <c r="A40" s="148"/>
      <c r="B40" s="51"/>
      <c r="C40" s="51"/>
      <c r="D40" s="149" t="s">
        <v>222</v>
      </c>
      <c r="E40" s="150">
        <f>SUM(E30+E39)</f>
        <v>0</v>
      </c>
      <c r="F40" s="150">
        <f>SUM(F30+F39)</f>
        <v>4342000</v>
      </c>
      <c r="G40" s="150">
        <f>SUM(G30+G39)</f>
        <v>16500000</v>
      </c>
      <c r="H40" s="150">
        <f>SUM(H30+H39)</f>
        <v>25270000</v>
      </c>
      <c r="I40" s="150">
        <f>SUM(I30+I39)</f>
        <v>81390000</v>
      </c>
      <c r="J40" s="150">
        <f>SUM(F40:I40)</f>
        <v>127502000</v>
      </c>
    </row>
    <row r="41" spans="1:10" ht="18.75" customHeight="1" x14ac:dyDescent="0.3">
      <c r="A41" s="151"/>
      <c r="B41" s="58"/>
      <c r="C41" s="58"/>
      <c r="D41" s="152" t="s">
        <v>223</v>
      </c>
      <c r="E41" s="153">
        <f>SUM(E31-E39)</f>
        <v>69000</v>
      </c>
      <c r="F41" s="153">
        <f>SUM(F31-F39)</f>
        <v>0</v>
      </c>
      <c r="G41" s="153">
        <f>SUM(G31-G39)</f>
        <v>0</v>
      </c>
      <c r="H41" s="153">
        <f>SUM(H31-H39)</f>
        <v>0</v>
      </c>
      <c r="I41" s="153">
        <f>SUM(I31-I39)</f>
        <v>0</v>
      </c>
      <c r="J41" s="153">
        <f>SUM(E41:I41)</f>
        <v>69000</v>
      </c>
    </row>
    <row r="42" spans="1:10" ht="18.75" customHeight="1" x14ac:dyDescent="0.3">
      <c r="A42" s="1127" t="s">
        <v>224</v>
      </c>
      <c r="B42" s="42"/>
      <c r="C42" s="955"/>
      <c r="D42" s="41"/>
      <c r="E42" s="684"/>
      <c r="F42" s="684"/>
      <c r="G42" s="684"/>
      <c r="H42" s="684"/>
      <c r="I42" s="684"/>
      <c r="J42" s="1095"/>
    </row>
    <row r="49" spans="1:10" ht="18.75" customHeight="1" x14ac:dyDescent="0.3">
      <c r="A49" s="154"/>
      <c r="B49" s="83"/>
      <c r="C49" s="83"/>
      <c r="D49" s="155" t="s">
        <v>225</v>
      </c>
      <c r="E49" s="156">
        <f>SUM(E42:E48)</f>
        <v>0</v>
      </c>
      <c r="F49" s="156">
        <f>SUM(F42:F48)</f>
        <v>0</v>
      </c>
      <c r="G49" s="156">
        <f>SUM(G42:G48)</f>
        <v>0</v>
      </c>
      <c r="H49" s="156">
        <f>SUM(H42:H48)</f>
        <v>0</v>
      </c>
      <c r="I49" s="156">
        <f>SUM(I42:I48)</f>
        <v>0</v>
      </c>
      <c r="J49" s="156">
        <f>SUM(F49:I49)</f>
        <v>0</v>
      </c>
    </row>
    <row r="50" spans="1:10" ht="18.75" customHeight="1" x14ac:dyDescent="0.3">
      <c r="A50" s="148"/>
      <c r="B50" s="51"/>
      <c r="C50" s="51"/>
      <c r="D50" s="149" t="s">
        <v>226</v>
      </c>
      <c r="E50" s="150">
        <f>SUM(E40+E49)</f>
        <v>0</v>
      </c>
      <c r="F50" s="150">
        <f>SUM(F40+F49)</f>
        <v>4342000</v>
      </c>
      <c r="G50" s="150">
        <f>SUM(G40+G49)</f>
        <v>16500000</v>
      </c>
      <c r="H50" s="150">
        <f>SUM(H40+H49)</f>
        <v>25270000</v>
      </c>
      <c r="I50" s="150">
        <f>SUM(I40+I49)</f>
        <v>81390000</v>
      </c>
      <c r="J50" s="150">
        <f>SUM(F50:I50)</f>
        <v>127502000</v>
      </c>
    </row>
    <row r="51" spans="1:10" ht="18.75" customHeight="1" x14ac:dyDescent="0.3">
      <c r="A51" s="151"/>
      <c r="B51" s="58"/>
      <c r="C51" s="58"/>
      <c r="D51" s="152" t="s">
        <v>227</v>
      </c>
      <c r="E51" s="153">
        <f>SUM(E41-E49)</f>
        <v>69000</v>
      </c>
      <c r="F51" s="153">
        <f>SUM(F41-F49)</f>
        <v>0</v>
      </c>
      <c r="G51" s="153">
        <f>SUM(G41-G49)</f>
        <v>0</v>
      </c>
      <c r="H51" s="153">
        <f>SUM(H41-H49)</f>
        <v>0</v>
      </c>
      <c r="I51" s="153">
        <f>SUM(I41-I49)</f>
        <v>0</v>
      </c>
      <c r="J51" s="153">
        <f>SUM(E51:I51)</f>
        <v>69000</v>
      </c>
    </row>
    <row r="52" spans="1:10" ht="18.75" customHeight="1" x14ac:dyDescent="0.3">
      <c r="A52" s="1127" t="s">
        <v>228</v>
      </c>
      <c r="B52" s="42"/>
      <c r="C52" s="955"/>
      <c r="D52" s="41"/>
      <c r="E52" s="684"/>
      <c r="F52" s="684"/>
      <c r="G52" s="684"/>
      <c r="H52" s="684"/>
      <c r="I52" s="684"/>
      <c r="J52" s="1095"/>
    </row>
    <row r="53" spans="1:10" ht="18.75" customHeight="1" x14ac:dyDescent="0.3">
      <c r="A53" s="1128"/>
      <c r="B53" s="42"/>
      <c r="C53" s="955"/>
      <c r="D53" s="41"/>
      <c r="E53" s="684"/>
      <c r="F53" s="684"/>
      <c r="G53" s="684"/>
      <c r="H53" s="684"/>
      <c r="I53" s="684"/>
      <c r="J53" s="1095"/>
    </row>
    <row r="54" spans="1:10" ht="18.75" customHeight="1" x14ac:dyDescent="0.3">
      <c r="A54" s="1128"/>
      <c r="B54" s="42"/>
      <c r="C54" s="955"/>
      <c r="D54" s="41"/>
      <c r="E54" s="684"/>
      <c r="F54" s="684"/>
      <c r="G54" s="684"/>
      <c r="H54" s="684"/>
      <c r="I54" s="684"/>
      <c r="J54" s="1095"/>
    </row>
    <row r="55" spans="1:10" ht="18.75" customHeight="1" x14ac:dyDescent="0.3">
      <c r="A55" s="1128"/>
      <c r="B55" s="42"/>
      <c r="C55" s="955"/>
      <c r="D55" s="41"/>
      <c r="E55" s="684"/>
      <c r="F55" s="684"/>
      <c r="G55" s="684"/>
      <c r="H55" s="684"/>
      <c r="I55" s="684"/>
      <c r="J55" s="1095"/>
    </row>
    <row r="56" spans="1:10" ht="18.75" customHeight="1" x14ac:dyDescent="0.3">
      <c r="A56" s="1128"/>
      <c r="B56" s="42"/>
      <c r="C56" s="955"/>
      <c r="D56" s="41"/>
      <c r="E56" s="684"/>
      <c r="F56" s="684"/>
      <c r="G56" s="684"/>
      <c r="H56" s="684"/>
      <c r="I56" s="684"/>
      <c r="J56" s="1095"/>
    </row>
    <row r="57" spans="1:10" ht="18.75" customHeight="1" x14ac:dyDescent="0.3">
      <c r="A57" s="686"/>
      <c r="B57" s="42"/>
      <c r="C57" s="955"/>
      <c r="D57" s="41"/>
      <c r="E57" s="684"/>
      <c r="F57" s="684"/>
      <c r="G57" s="684"/>
      <c r="H57" s="684"/>
      <c r="I57" s="684"/>
      <c r="J57" s="1095"/>
    </row>
    <row r="58" spans="1:10" ht="18.75" customHeight="1" x14ac:dyDescent="0.3">
      <c r="A58" s="1128"/>
      <c r="B58" s="42"/>
      <c r="C58" s="955"/>
      <c r="D58" s="41"/>
      <c r="E58" s="684"/>
      <c r="F58" s="684"/>
      <c r="G58" s="684"/>
      <c r="H58" s="684"/>
      <c r="I58" s="684"/>
      <c r="J58" s="1105"/>
    </row>
    <row r="59" spans="1:10" ht="18.75" customHeight="1" x14ac:dyDescent="0.3">
      <c r="A59" s="154"/>
      <c r="B59" s="83"/>
      <c r="C59" s="83"/>
      <c r="D59" s="155" t="s">
        <v>229</v>
      </c>
      <c r="E59" s="156">
        <f>SUM(E52:E58)</f>
        <v>0</v>
      </c>
      <c r="F59" s="156">
        <f>SUM(F52:F58)</f>
        <v>0</v>
      </c>
      <c r="G59" s="156">
        <f>SUM(G52:G58)</f>
        <v>0</v>
      </c>
      <c r="H59" s="156">
        <f>SUM(H52:H58)</f>
        <v>0</v>
      </c>
      <c r="I59" s="156">
        <f>SUM(I52:I58)</f>
        <v>0</v>
      </c>
      <c r="J59" s="156">
        <f>SUM(F59:I59)</f>
        <v>0</v>
      </c>
    </row>
    <row r="60" spans="1:10" ht="18.75" customHeight="1" x14ac:dyDescent="0.3">
      <c r="A60" s="148"/>
      <c r="B60" s="51"/>
      <c r="C60" s="51"/>
      <c r="D60" s="149" t="s">
        <v>230</v>
      </c>
      <c r="E60" s="150">
        <f>SUM(E50+E59)</f>
        <v>0</v>
      </c>
      <c r="F60" s="150">
        <f>SUM(F50+F59)</f>
        <v>4342000</v>
      </c>
      <c r="G60" s="150">
        <f>SUM(G50+G59)</f>
        <v>16500000</v>
      </c>
      <c r="H60" s="150">
        <f>SUM(H50+H59)</f>
        <v>25270000</v>
      </c>
      <c r="I60" s="150">
        <f>SUM(I50+I59)</f>
        <v>81390000</v>
      </c>
      <c r="J60" s="150">
        <f>SUM(F60:I60)</f>
        <v>127502000</v>
      </c>
    </row>
    <row r="61" spans="1:10" ht="18.75" customHeight="1" x14ac:dyDescent="0.3">
      <c r="A61" s="151"/>
      <c r="B61" s="58"/>
      <c r="C61" s="58"/>
      <c r="D61" s="152" t="s">
        <v>231</v>
      </c>
      <c r="E61" s="153">
        <f>SUM(E51-E59)</f>
        <v>69000</v>
      </c>
      <c r="F61" s="153">
        <f>SUM(F51-F59)</f>
        <v>0</v>
      </c>
      <c r="G61" s="153">
        <f>SUM(G51-G59)</f>
        <v>0</v>
      </c>
      <c r="H61" s="153">
        <f>SUM(H51-H59)</f>
        <v>0</v>
      </c>
      <c r="I61" s="153">
        <f>SUM(I51-I59)</f>
        <v>0</v>
      </c>
      <c r="J61" s="153">
        <f>SUM(E61:I61)</f>
        <v>69000</v>
      </c>
    </row>
    <row r="62" spans="1:10" ht="18.75" customHeight="1" x14ac:dyDescent="0.3">
      <c r="A62" s="1127" t="s">
        <v>232</v>
      </c>
      <c r="B62" s="42"/>
      <c r="C62" s="955"/>
      <c r="D62" s="41"/>
      <c r="E62" s="684"/>
      <c r="F62" s="684"/>
      <c r="G62" s="684"/>
      <c r="H62" s="684"/>
      <c r="I62" s="684"/>
      <c r="J62" s="1095"/>
    </row>
    <row r="69" spans="1:10" ht="18.75" customHeight="1" x14ac:dyDescent="0.3">
      <c r="A69" s="154"/>
      <c r="B69" s="83"/>
      <c r="C69" s="83"/>
      <c r="D69" s="155" t="s">
        <v>233</v>
      </c>
      <c r="E69" s="156">
        <f>SUM(E62:E68)</f>
        <v>0</v>
      </c>
      <c r="F69" s="156">
        <f>SUM(F62:F68)</f>
        <v>0</v>
      </c>
      <c r="G69" s="156">
        <f>SUM(G62:G68)</f>
        <v>0</v>
      </c>
      <c r="H69" s="156">
        <f>SUM(H62:H68)</f>
        <v>0</v>
      </c>
      <c r="I69" s="156">
        <f>SUM(I62:I68)</f>
        <v>0</v>
      </c>
      <c r="J69" s="156">
        <f>SUM(F69:I69)</f>
        <v>0</v>
      </c>
    </row>
    <row r="70" spans="1:10" ht="18.75" customHeight="1" x14ac:dyDescent="0.3">
      <c r="A70" s="148"/>
      <c r="B70" s="51"/>
      <c r="C70" s="51"/>
      <c r="D70" s="149" t="s">
        <v>234</v>
      </c>
      <c r="E70" s="150">
        <f>SUM(E60+E69)</f>
        <v>0</v>
      </c>
      <c r="F70" s="150">
        <f>SUM(F60+F69)</f>
        <v>4342000</v>
      </c>
      <c r="G70" s="150">
        <f>SUM(G60+G69)</f>
        <v>16500000</v>
      </c>
      <c r="H70" s="150">
        <f>SUM(H60+H69)</f>
        <v>25270000</v>
      </c>
      <c r="I70" s="150">
        <f>SUM(I60+I69)</f>
        <v>81390000</v>
      </c>
      <c r="J70" s="150">
        <f>SUM(F70:I70)</f>
        <v>127502000</v>
      </c>
    </row>
    <row r="71" spans="1:10" ht="18.75" customHeight="1" x14ac:dyDescent="0.3">
      <c r="A71" s="151"/>
      <c r="B71" s="58"/>
      <c r="C71" s="58"/>
      <c r="D71" s="152" t="s">
        <v>235</v>
      </c>
      <c r="E71" s="153">
        <f>SUM(E61-E69)</f>
        <v>69000</v>
      </c>
      <c r="F71" s="153">
        <f>SUM(F61-F69)</f>
        <v>0</v>
      </c>
      <c r="G71" s="153">
        <f>SUM(G61-G69)</f>
        <v>0</v>
      </c>
      <c r="H71" s="153">
        <f>SUM(H61-H69)</f>
        <v>0</v>
      </c>
      <c r="I71" s="153">
        <f>SUM(I61-I69)</f>
        <v>0</v>
      </c>
      <c r="J71" s="153">
        <f>SUM(E71:I71)</f>
        <v>69000</v>
      </c>
    </row>
    <row r="72" spans="1:10" ht="18.75" customHeight="1" x14ac:dyDescent="0.3">
      <c r="A72" s="1127" t="s">
        <v>236</v>
      </c>
      <c r="B72" s="42"/>
      <c r="C72" s="955"/>
      <c r="D72" s="41"/>
      <c r="E72" s="684"/>
      <c r="F72" s="684"/>
      <c r="G72" s="684"/>
      <c r="H72" s="684"/>
      <c r="I72" s="684"/>
      <c r="J72" s="1095"/>
    </row>
    <row r="73" spans="1:10" ht="18.75" customHeight="1" x14ac:dyDescent="0.3">
      <c r="A73" s="1128"/>
      <c r="B73" s="42"/>
      <c r="C73" s="955"/>
      <c r="D73" s="41"/>
      <c r="E73" s="684"/>
      <c r="F73" s="684"/>
      <c r="G73" s="684"/>
      <c r="H73" s="684"/>
      <c r="I73" s="684"/>
      <c r="J73" s="1095"/>
    </row>
    <row r="74" spans="1:10" ht="18.75" customHeight="1" x14ac:dyDescent="0.3">
      <c r="A74" s="1128"/>
      <c r="B74" s="42"/>
      <c r="C74" s="955"/>
      <c r="D74" s="41"/>
      <c r="E74" s="684"/>
      <c r="F74" s="684"/>
      <c r="G74" s="684"/>
      <c r="H74" s="684"/>
      <c r="I74" s="684"/>
      <c r="J74" s="1095"/>
    </row>
    <row r="75" spans="1:10" ht="18.75" customHeight="1" x14ac:dyDescent="0.3">
      <c r="A75" s="1128"/>
      <c r="B75" s="42"/>
      <c r="C75" s="955"/>
      <c r="D75" s="41"/>
      <c r="E75" s="684"/>
      <c r="F75" s="684"/>
      <c r="G75" s="684"/>
      <c r="H75" s="684"/>
      <c r="I75" s="684"/>
      <c r="J75" s="1095"/>
    </row>
    <row r="76" spans="1:10" ht="18.75" customHeight="1" x14ac:dyDescent="0.3">
      <c r="A76" s="1128"/>
      <c r="B76" s="42"/>
      <c r="C76" s="955"/>
      <c r="D76" s="41"/>
      <c r="E76" s="684"/>
      <c r="F76" s="684"/>
      <c r="G76" s="684"/>
      <c r="H76" s="684"/>
      <c r="I76" s="684"/>
      <c r="J76" s="1095"/>
    </row>
    <row r="77" spans="1:10" ht="18.75" customHeight="1" x14ac:dyDescent="0.3">
      <c r="A77" s="686"/>
      <c r="B77" s="42"/>
      <c r="C77" s="955"/>
      <c r="D77" s="41"/>
      <c r="E77" s="684"/>
      <c r="F77" s="684"/>
      <c r="G77" s="684"/>
      <c r="H77" s="684"/>
      <c r="I77" s="684"/>
      <c r="J77" s="1095"/>
    </row>
    <row r="78" spans="1:10" ht="18.75" customHeight="1" x14ac:dyDescent="0.3">
      <c r="A78" s="1128"/>
      <c r="B78" s="42"/>
      <c r="C78" s="955"/>
      <c r="D78" s="41"/>
      <c r="E78" s="684"/>
      <c r="F78" s="684"/>
      <c r="G78" s="684"/>
      <c r="H78" s="684"/>
      <c r="I78" s="684"/>
      <c r="J78" s="1105"/>
    </row>
    <row r="79" spans="1:10" ht="18.75" customHeight="1" x14ac:dyDescent="0.3">
      <c r="A79" s="154"/>
      <c r="B79" s="83"/>
      <c r="C79" s="83"/>
      <c r="D79" s="155" t="s">
        <v>237</v>
      </c>
      <c r="E79" s="156">
        <f>SUM(E72:E78)</f>
        <v>0</v>
      </c>
      <c r="F79" s="156">
        <f>SUM(F72:F78)</f>
        <v>0</v>
      </c>
      <c r="G79" s="156">
        <f>SUM(G72:G78)</f>
        <v>0</v>
      </c>
      <c r="H79" s="156">
        <f>SUM(H72:H78)</f>
        <v>0</v>
      </c>
      <c r="I79" s="156">
        <f>SUM(I72:I78)</f>
        <v>0</v>
      </c>
      <c r="J79" s="156">
        <f>SUM(F79:I79)</f>
        <v>0</v>
      </c>
    </row>
    <row r="80" spans="1:10" ht="18.75" customHeight="1" x14ac:dyDescent="0.3">
      <c r="A80" s="148"/>
      <c r="B80" s="51"/>
      <c r="C80" s="51"/>
      <c r="D80" s="149" t="s">
        <v>238</v>
      </c>
      <c r="E80" s="150">
        <f>SUM(E70+E79)</f>
        <v>0</v>
      </c>
      <c r="F80" s="150">
        <f>SUM(F70+F79)</f>
        <v>4342000</v>
      </c>
      <c r="G80" s="150">
        <f>SUM(G70+G79)</f>
        <v>16500000</v>
      </c>
      <c r="H80" s="150">
        <f>SUM(H70+H79)</f>
        <v>25270000</v>
      </c>
      <c r="I80" s="150">
        <f>SUM(I70+I79)</f>
        <v>81390000</v>
      </c>
      <c r="J80" s="150">
        <f>SUM(F80:I80)</f>
        <v>127502000</v>
      </c>
    </row>
    <row r="81" spans="1:10" ht="18.75" customHeight="1" x14ac:dyDescent="0.3">
      <c r="A81" s="151"/>
      <c r="B81" s="58"/>
      <c r="C81" s="58"/>
      <c r="D81" s="152" t="s">
        <v>239</v>
      </c>
      <c r="E81" s="153">
        <f>SUM(E71-E79)</f>
        <v>69000</v>
      </c>
      <c r="F81" s="153">
        <f>SUM(F71-F79)</f>
        <v>0</v>
      </c>
      <c r="G81" s="153">
        <f>SUM(G71-G79)</f>
        <v>0</v>
      </c>
      <c r="H81" s="153">
        <f>SUM(H71-H79)</f>
        <v>0</v>
      </c>
      <c r="I81" s="153">
        <f>SUM(I71-I79)</f>
        <v>0</v>
      </c>
      <c r="J81" s="153">
        <f>SUM(E81:I81)</f>
        <v>69000</v>
      </c>
    </row>
    <row r="82" spans="1:10" ht="18.75" customHeight="1" x14ac:dyDescent="0.3">
      <c r="A82" s="1127" t="s">
        <v>240</v>
      </c>
      <c r="B82" s="42"/>
      <c r="C82" s="955"/>
      <c r="D82" s="41"/>
      <c r="E82" s="684"/>
      <c r="F82" s="684"/>
      <c r="G82" s="684"/>
      <c r="H82" s="684"/>
      <c r="I82" s="684"/>
      <c r="J82" s="1095"/>
    </row>
    <row r="83" spans="1:10" ht="18.75" customHeight="1" x14ac:dyDescent="0.3">
      <c r="A83" s="1128"/>
      <c r="B83" s="42"/>
      <c r="C83" s="955"/>
      <c r="D83" s="41"/>
      <c r="E83" s="684"/>
      <c r="F83" s="684"/>
      <c r="G83" s="684"/>
      <c r="H83" s="684"/>
      <c r="I83" s="684"/>
      <c r="J83" s="1095"/>
    </row>
    <row r="84" spans="1:10" ht="18.75" customHeight="1" x14ac:dyDescent="0.3">
      <c r="A84" s="1128"/>
      <c r="B84" s="42"/>
      <c r="C84" s="955"/>
      <c r="D84" s="41"/>
      <c r="E84" s="684"/>
      <c r="F84" s="684"/>
      <c r="G84" s="684"/>
      <c r="H84" s="684"/>
      <c r="I84" s="684"/>
      <c r="J84" s="1095"/>
    </row>
    <row r="85" spans="1:10" ht="18.75" customHeight="1" x14ac:dyDescent="0.3">
      <c r="A85" s="1128"/>
      <c r="B85" s="42"/>
      <c r="C85" s="955"/>
      <c r="D85" s="41"/>
      <c r="E85" s="684"/>
      <c r="F85" s="684"/>
      <c r="G85" s="684"/>
      <c r="H85" s="684"/>
      <c r="I85" s="684"/>
      <c r="J85" s="1095"/>
    </row>
    <row r="86" spans="1:10" ht="18.75" customHeight="1" x14ac:dyDescent="0.3">
      <c r="A86" s="1128"/>
      <c r="B86" s="42"/>
      <c r="C86" s="955"/>
      <c r="D86" s="41"/>
      <c r="E86" s="684"/>
      <c r="F86" s="684"/>
      <c r="G86" s="684"/>
      <c r="H86" s="684"/>
      <c r="I86" s="684"/>
      <c r="J86" s="1095"/>
    </row>
    <row r="87" spans="1:10" ht="18.75" customHeight="1" x14ac:dyDescent="0.3">
      <c r="A87" s="686"/>
      <c r="B87" s="42"/>
      <c r="C87" s="955"/>
      <c r="D87" s="41"/>
      <c r="E87" s="684"/>
      <c r="F87" s="684"/>
      <c r="G87" s="684"/>
      <c r="H87" s="684"/>
      <c r="I87" s="684"/>
      <c r="J87" s="1095"/>
    </row>
    <row r="88" spans="1:10" ht="18.75" customHeight="1" x14ac:dyDescent="0.3">
      <c r="A88" s="1128"/>
      <c r="B88" s="42"/>
      <c r="C88" s="955"/>
      <c r="D88" s="41"/>
      <c r="E88" s="684"/>
      <c r="F88" s="684"/>
      <c r="G88" s="684"/>
      <c r="H88" s="684"/>
      <c r="I88" s="684"/>
      <c r="J88" s="1105"/>
    </row>
    <row r="89" spans="1:10" ht="18.75" customHeight="1" x14ac:dyDescent="0.3">
      <c r="A89" s="154"/>
      <c r="B89" s="83"/>
      <c r="C89" s="83"/>
      <c r="D89" s="155" t="s">
        <v>241</v>
      </c>
      <c r="E89" s="156">
        <f>SUM(E82:E88)</f>
        <v>0</v>
      </c>
      <c r="F89" s="156">
        <f>SUM(F82:F88)</f>
        <v>0</v>
      </c>
      <c r="G89" s="156">
        <f>SUM(G82:G88)</f>
        <v>0</v>
      </c>
      <c r="H89" s="156">
        <f>SUM(H82:H88)</f>
        <v>0</v>
      </c>
      <c r="I89" s="156">
        <f>SUM(I82:I88)</f>
        <v>0</v>
      </c>
      <c r="J89" s="156">
        <f>SUM(F89:I89)</f>
        <v>0</v>
      </c>
    </row>
    <row r="90" spans="1:10" ht="18.75" customHeight="1" x14ac:dyDescent="0.3">
      <c r="A90" s="148"/>
      <c r="B90" s="51"/>
      <c r="C90" s="51"/>
      <c r="D90" s="149" t="s">
        <v>242</v>
      </c>
      <c r="E90" s="150">
        <f>SUM(E80+E89)</f>
        <v>0</v>
      </c>
      <c r="F90" s="150">
        <f>SUM(F80+F89)</f>
        <v>4342000</v>
      </c>
      <c r="G90" s="150">
        <f>SUM(G80+G89)</f>
        <v>16500000</v>
      </c>
      <c r="H90" s="150">
        <f>SUM(H80+H89)</f>
        <v>25270000</v>
      </c>
      <c r="I90" s="150">
        <f>SUM(I80+I89)</f>
        <v>81390000</v>
      </c>
      <c r="J90" s="150">
        <f>SUM(F90:I90)</f>
        <v>127502000</v>
      </c>
    </row>
    <row r="91" spans="1:10" ht="18.75" customHeight="1" x14ac:dyDescent="0.3">
      <c r="A91" s="151"/>
      <c r="B91" s="58"/>
      <c r="C91" s="58"/>
      <c r="D91" s="152" t="s">
        <v>243</v>
      </c>
      <c r="E91" s="153">
        <f>SUM(E81-E89)</f>
        <v>69000</v>
      </c>
      <c r="F91" s="153">
        <f>SUM(F81-F89)</f>
        <v>0</v>
      </c>
      <c r="G91" s="153">
        <f>SUM(G81-G89)</f>
        <v>0</v>
      </c>
      <c r="H91" s="153">
        <f>SUM(H81-H89)</f>
        <v>0</v>
      </c>
      <c r="I91" s="153">
        <f>SUM(I81-I89)</f>
        <v>0</v>
      </c>
      <c r="J91" s="153">
        <f>SUM(E91:I91)</f>
        <v>69000</v>
      </c>
    </row>
    <row r="92" spans="1:10" ht="18.75" customHeight="1" x14ac:dyDescent="0.3">
      <c r="A92" s="1127" t="s">
        <v>244</v>
      </c>
      <c r="B92" s="42"/>
      <c r="C92" s="955"/>
      <c r="D92" s="41"/>
      <c r="E92" s="684"/>
      <c r="F92" s="684"/>
      <c r="G92" s="684"/>
      <c r="H92" s="684"/>
      <c r="I92" s="684"/>
      <c r="J92" s="1095"/>
    </row>
    <row r="99" spans="1:10" ht="18.75" customHeight="1" x14ac:dyDescent="0.3">
      <c r="A99" s="154"/>
      <c r="B99" s="83"/>
      <c r="C99" s="83"/>
      <c r="D99" s="155" t="s">
        <v>245</v>
      </c>
      <c r="E99" s="156">
        <f>SUM(E92:E98)</f>
        <v>0</v>
      </c>
      <c r="F99" s="156">
        <f>SUM(F92:F98)</f>
        <v>0</v>
      </c>
      <c r="G99" s="156">
        <f>SUM(G92:G98)</f>
        <v>0</v>
      </c>
      <c r="H99" s="156">
        <f>SUM(H92:H98)</f>
        <v>0</v>
      </c>
      <c r="I99" s="156">
        <f>SUM(I92:I98)</f>
        <v>0</v>
      </c>
      <c r="J99" s="156">
        <f>SUM(F99:I99)</f>
        <v>0</v>
      </c>
    </row>
    <row r="100" spans="1:10" ht="18.75" customHeight="1" x14ac:dyDescent="0.3">
      <c r="A100" s="148"/>
      <c r="B100" s="51"/>
      <c r="C100" s="51"/>
      <c r="D100" s="149" t="s">
        <v>246</v>
      </c>
      <c r="E100" s="150">
        <f>SUM(E90+E99)</f>
        <v>0</v>
      </c>
      <c r="F100" s="150">
        <f>SUM(F90+F99)</f>
        <v>4342000</v>
      </c>
      <c r="G100" s="150">
        <f>SUM(G90+G99)</f>
        <v>16500000</v>
      </c>
      <c r="H100" s="150">
        <f>SUM(H90+H99)</f>
        <v>25270000</v>
      </c>
      <c r="I100" s="150">
        <f>SUM(I90+I99)</f>
        <v>81390000</v>
      </c>
      <c r="J100" s="150">
        <f>SUM(F100:I100)</f>
        <v>127502000</v>
      </c>
    </row>
    <row r="101" spans="1:10" ht="18.75" customHeight="1" x14ac:dyDescent="0.3">
      <c r="A101" s="151"/>
      <c r="B101" s="58"/>
      <c r="C101" s="58"/>
      <c r="D101" s="152" t="s">
        <v>247</v>
      </c>
      <c r="E101" s="153">
        <f>SUM(E91-E99)</f>
        <v>69000</v>
      </c>
      <c r="F101" s="153">
        <f>SUM(F91-F99)</f>
        <v>0</v>
      </c>
      <c r="G101" s="153">
        <f>SUM(G91-G99)</f>
        <v>0</v>
      </c>
      <c r="H101" s="153">
        <f>SUM(H91-H99)</f>
        <v>0</v>
      </c>
      <c r="I101" s="153">
        <f>SUM(I91-I99)</f>
        <v>0</v>
      </c>
      <c r="J101" s="153">
        <f>SUM(E101:I101)</f>
        <v>69000</v>
      </c>
    </row>
    <row r="102" spans="1:10" ht="18.75" customHeight="1" x14ac:dyDescent="0.3">
      <c r="A102" s="1127" t="s">
        <v>248</v>
      </c>
      <c r="B102" s="42"/>
      <c r="C102" s="955"/>
      <c r="D102" s="41"/>
      <c r="E102" s="684"/>
      <c r="F102" s="684"/>
      <c r="G102" s="684"/>
      <c r="H102" s="684"/>
      <c r="I102" s="684"/>
      <c r="J102" s="1095"/>
    </row>
    <row r="103" spans="1:10" ht="18.75" customHeight="1" x14ac:dyDescent="0.3">
      <c r="A103" s="1128"/>
      <c r="B103" s="42"/>
      <c r="C103" s="955"/>
      <c r="D103" s="41"/>
      <c r="E103" s="684"/>
      <c r="F103" s="684"/>
      <c r="G103" s="684"/>
      <c r="H103" s="684"/>
      <c r="I103" s="684"/>
      <c r="J103" s="1095"/>
    </row>
    <row r="104" spans="1:10" ht="18.75" customHeight="1" x14ac:dyDescent="0.3">
      <c r="A104" s="1128"/>
      <c r="B104" s="42"/>
      <c r="C104" s="955"/>
      <c r="D104" s="41"/>
      <c r="E104" s="684"/>
      <c r="F104" s="684"/>
      <c r="G104" s="684"/>
      <c r="H104" s="684"/>
      <c r="I104" s="684"/>
      <c r="J104" s="1095"/>
    </row>
    <row r="105" spans="1:10" ht="18.75" customHeight="1" x14ac:dyDescent="0.3">
      <c r="A105" s="1128"/>
      <c r="B105" s="42"/>
      <c r="C105" s="955"/>
      <c r="D105" s="41"/>
      <c r="E105" s="684"/>
      <c r="F105" s="684"/>
      <c r="G105" s="684"/>
      <c r="H105" s="684"/>
      <c r="I105" s="684"/>
      <c r="J105" s="1095"/>
    </row>
    <row r="106" spans="1:10" ht="18.75" customHeight="1" x14ac:dyDescent="0.3">
      <c r="A106" s="1128"/>
      <c r="B106" s="42"/>
      <c r="C106" s="955"/>
      <c r="D106" s="41"/>
      <c r="E106" s="684"/>
      <c r="F106" s="684"/>
      <c r="G106" s="684"/>
      <c r="H106" s="684"/>
      <c r="I106" s="684"/>
      <c r="J106" s="1095"/>
    </row>
    <row r="107" spans="1:10" ht="18.75" customHeight="1" x14ac:dyDescent="0.3">
      <c r="A107" s="686"/>
      <c r="B107" s="42"/>
      <c r="C107" s="955"/>
      <c r="D107" s="41"/>
      <c r="E107" s="684"/>
      <c r="F107" s="684"/>
      <c r="G107" s="684"/>
      <c r="H107" s="684"/>
      <c r="I107" s="684"/>
      <c r="J107" s="1095"/>
    </row>
    <row r="108" spans="1:10" ht="18.75" customHeight="1" x14ac:dyDescent="0.3">
      <c r="A108" s="1128"/>
      <c r="B108" s="42"/>
      <c r="C108" s="955"/>
      <c r="D108" s="41"/>
      <c r="E108" s="684"/>
      <c r="F108" s="684"/>
      <c r="G108" s="684"/>
      <c r="H108" s="684"/>
      <c r="I108" s="684"/>
      <c r="J108" s="1105"/>
    </row>
    <row r="109" spans="1:10" ht="18.75" customHeight="1" x14ac:dyDescent="0.3">
      <c r="A109" s="154"/>
      <c r="B109" s="83"/>
      <c r="C109" s="83"/>
      <c r="D109" s="155" t="s">
        <v>249</v>
      </c>
      <c r="E109" s="156">
        <f>SUM(E102:E108)</f>
        <v>0</v>
      </c>
      <c r="F109" s="156">
        <f>SUM(F102:F108)</f>
        <v>0</v>
      </c>
      <c r="G109" s="156">
        <f>SUM(G102:G108)</f>
        <v>0</v>
      </c>
      <c r="H109" s="156">
        <f>SUM(H102:H108)</f>
        <v>0</v>
      </c>
      <c r="I109" s="156">
        <f>SUM(I102:I108)</f>
        <v>0</v>
      </c>
      <c r="J109" s="156">
        <f>SUM(F109:I109)</f>
        <v>0</v>
      </c>
    </row>
    <row r="110" spans="1:10" ht="18.75" customHeight="1" x14ac:dyDescent="0.3">
      <c r="A110" s="148"/>
      <c r="B110" s="51"/>
      <c r="C110" s="51"/>
      <c r="D110" s="149" t="s">
        <v>250</v>
      </c>
      <c r="E110" s="150">
        <f>SUM(E100+E109)</f>
        <v>0</v>
      </c>
      <c r="F110" s="150">
        <f>SUM(F100+F109)</f>
        <v>4342000</v>
      </c>
      <c r="G110" s="150">
        <f>SUM(G100+G109)</f>
        <v>16500000</v>
      </c>
      <c r="H110" s="150">
        <f>SUM(H100+H109)</f>
        <v>25270000</v>
      </c>
      <c r="I110" s="150">
        <f>SUM(I100+I109)</f>
        <v>81390000</v>
      </c>
      <c r="J110" s="150">
        <f>SUM(F110:I110)</f>
        <v>127502000</v>
      </c>
    </row>
    <row r="111" spans="1:10" ht="18.75" customHeight="1" x14ac:dyDescent="0.3">
      <c r="A111" s="151"/>
      <c r="B111" s="58"/>
      <c r="C111" s="58"/>
      <c r="D111" s="152" t="s">
        <v>251</v>
      </c>
      <c r="E111" s="153">
        <f>SUM(E101-E109)</f>
        <v>69000</v>
      </c>
      <c r="F111" s="153">
        <f>SUM(F101-F109)</f>
        <v>0</v>
      </c>
      <c r="G111" s="153">
        <f>SUM(G101-G109)</f>
        <v>0</v>
      </c>
      <c r="H111" s="153">
        <f>SUM(H101-H109)</f>
        <v>0</v>
      </c>
      <c r="I111" s="153">
        <f>SUM(I101-I109)</f>
        <v>0</v>
      </c>
      <c r="J111" s="153">
        <f>SUM(E111:I111)</f>
        <v>69000</v>
      </c>
    </row>
    <row r="112" spans="1:10" ht="18.75" customHeight="1" x14ac:dyDescent="0.3">
      <c r="A112" s="1127" t="s">
        <v>252</v>
      </c>
      <c r="B112" s="42"/>
      <c r="C112" s="955"/>
      <c r="D112" s="41"/>
      <c r="E112" s="684"/>
      <c r="F112" s="684"/>
      <c r="G112" s="684"/>
      <c r="H112" s="684"/>
      <c r="I112" s="684"/>
      <c r="J112" s="1095"/>
    </row>
    <row r="119" spans="1:10" ht="18.75" customHeight="1" x14ac:dyDescent="0.3">
      <c r="A119" s="154"/>
      <c r="B119" s="83"/>
      <c r="C119" s="83"/>
      <c r="D119" s="155" t="s">
        <v>253</v>
      </c>
      <c r="E119" s="156">
        <f>SUM(E112:E118)</f>
        <v>0</v>
      </c>
      <c r="F119" s="156">
        <f>SUM(F112:F118)</f>
        <v>0</v>
      </c>
      <c r="G119" s="156">
        <f>SUM(G112:G118)</f>
        <v>0</v>
      </c>
      <c r="H119" s="156">
        <f>SUM(H112:H118)</f>
        <v>0</v>
      </c>
      <c r="I119" s="156">
        <f>SUM(I112:I118)</f>
        <v>0</v>
      </c>
      <c r="J119" s="156">
        <f>SUM(F119:I119)</f>
        <v>0</v>
      </c>
    </row>
    <row r="120" spans="1:10" ht="18.75" customHeight="1" x14ac:dyDescent="0.3">
      <c r="A120" s="148"/>
      <c r="B120" s="51"/>
      <c r="C120" s="51"/>
      <c r="D120" s="149" t="s">
        <v>254</v>
      </c>
      <c r="E120" s="150">
        <f>SUM(E110+E119)</f>
        <v>0</v>
      </c>
      <c r="F120" s="150">
        <f>SUM(F110+F119)</f>
        <v>4342000</v>
      </c>
      <c r="G120" s="150">
        <f>SUM(G110+G119)</f>
        <v>16500000</v>
      </c>
      <c r="H120" s="150">
        <f>SUM(H110+H119)</f>
        <v>25270000</v>
      </c>
      <c r="I120" s="150">
        <f>SUM(I110+I119)</f>
        <v>81390000</v>
      </c>
      <c r="J120" s="150">
        <f>SUM(F120:I120)</f>
        <v>127502000</v>
      </c>
    </row>
    <row r="121" spans="1:10" ht="18.75" customHeight="1" x14ac:dyDescent="0.3">
      <c r="A121" s="151"/>
      <c r="B121" s="58"/>
      <c r="C121" s="58"/>
      <c r="D121" s="152" t="s">
        <v>255</v>
      </c>
      <c r="E121" s="153">
        <f>SUM(E111-E119)</f>
        <v>69000</v>
      </c>
      <c r="F121" s="153">
        <f>SUM(F111-F119)</f>
        <v>0</v>
      </c>
      <c r="G121" s="153">
        <f>SUM(G111-G119)</f>
        <v>0</v>
      </c>
      <c r="H121" s="153">
        <f>SUM(H111-H119)</f>
        <v>0</v>
      </c>
      <c r="I121" s="153">
        <f>SUM(I111-I119)</f>
        <v>0</v>
      </c>
      <c r="J121" s="153">
        <f>SUM(E121:I121)</f>
        <v>69000</v>
      </c>
    </row>
    <row r="122" spans="1:10" ht="18.75" customHeight="1" x14ac:dyDescent="0.3">
      <c r="A122" s="1127" t="s">
        <v>256</v>
      </c>
      <c r="B122" s="42"/>
      <c r="C122" s="955"/>
      <c r="D122" s="41"/>
      <c r="E122" s="684"/>
      <c r="F122" s="684"/>
      <c r="G122" s="684"/>
      <c r="H122" s="684"/>
      <c r="I122" s="684"/>
      <c r="J122" s="1095"/>
    </row>
    <row r="129" spans="4:10" ht="18.75" customHeight="1" x14ac:dyDescent="0.3">
      <c r="D129" s="155" t="s">
        <v>257</v>
      </c>
      <c r="E129" s="156">
        <f>SUM(E122:E128)</f>
        <v>0</v>
      </c>
      <c r="F129" s="156">
        <f>SUM(F122:F128)</f>
        <v>0</v>
      </c>
      <c r="G129" s="156">
        <f>SUM(G122:G128)</f>
        <v>0</v>
      </c>
      <c r="H129" s="156">
        <f>SUM(H122:H128)</f>
        <v>0</v>
      </c>
      <c r="I129" s="156">
        <f>SUM(I122:I128)</f>
        <v>0</v>
      </c>
      <c r="J129" s="156">
        <f>SUM(F129:I129)</f>
        <v>0</v>
      </c>
    </row>
    <row r="130" spans="4:10" ht="18.75" customHeight="1" x14ac:dyDescent="0.3">
      <c r="D130" s="149" t="s">
        <v>258</v>
      </c>
      <c r="E130" s="150">
        <f>SUM(E120+E129)</f>
        <v>0</v>
      </c>
      <c r="F130" s="150">
        <f>SUM(F120+F129)</f>
        <v>4342000</v>
      </c>
      <c r="G130" s="150">
        <f>SUM(G120+G129)</f>
        <v>16500000</v>
      </c>
      <c r="H130" s="150">
        <f>SUM(H120+H129)</f>
        <v>25270000</v>
      </c>
      <c r="I130" s="150">
        <f>SUM(I120+I129)</f>
        <v>81390000</v>
      </c>
      <c r="J130" s="150">
        <f>SUM(F130:I130)</f>
        <v>127502000</v>
      </c>
    </row>
    <row r="131" spans="4:10" ht="18.75" customHeight="1" x14ac:dyDescent="0.3">
      <c r="D131" s="152" t="s">
        <v>259</v>
      </c>
      <c r="E131" s="153">
        <f>SUM(E121-E129)</f>
        <v>69000</v>
      </c>
      <c r="F131" s="153">
        <f>SUM(F121-F129)</f>
        <v>0</v>
      </c>
      <c r="G131" s="153">
        <f>SUM(G121-G129)</f>
        <v>0</v>
      </c>
      <c r="H131" s="153">
        <f>SUM(H121-H129)</f>
        <v>0</v>
      </c>
      <c r="I131" s="153">
        <f>SUM(I121-I129)</f>
        <v>0</v>
      </c>
      <c r="J131" s="153">
        <f>SUM(E131:I131)</f>
        <v>69000</v>
      </c>
    </row>
  </sheetData>
  <conditionalFormatting sqref="E1:K1000">
    <cfRule type="cellIs" dxfId="292" priority="2" stopIfTrue="1" operator="lessThan">
      <formula>0</formula>
    </cfRule>
  </conditionalFormatting>
  <conditionalFormatting sqref="A7:A14">
    <cfRule type="cellIs" dxfId="291" priority="1" stopIfTrue="1" operator="lessThan">
      <formula>0</formula>
    </cfRule>
  </conditionalFormatting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FF00"/>
  </sheetPr>
  <dimension ref="A1:Z139"/>
  <sheetViews>
    <sheetView view="pageBreakPreview" zoomScaleNormal="120" zoomScaleSheetLayoutView="100" workbookViewId="0">
      <selection activeCell="I45" sqref="I45"/>
    </sheetView>
  </sheetViews>
  <sheetFormatPr defaultColWidth="14.42578125" defaultRowHeight="15" customHeight="1" x14ac:dyDescent="0.3"/>
  <cols>
    <col min="1" max="1" width="68.7109375" style="137" customWidth="1"/>
    <col min="2" max="2" width="17.140625" style="137" customWidth="1"/>
    <col min="3" max="3" width="21.28515625" style="137" customWidth="1"/>
    <col min="4" max="10" width="17" style="137" customWidth="1"/>
    <col min="11" max="12" width="3.7109375" style="137" customWidth="1"/>
    <col min="13" max="13" width="22.42578125" style="137" customWidth="1"/>
    <col min="14" max="14" width="16.42578125" style="137" customWidth="1"/>
    <col min="15" max="15" width="21.140625" style="137" customWidth="1"/>
    <col min="16" max="16" width="16.42578125" style="137" customWidth="1"/>
    <col min="17" max="17" width="23.42578125" style="137" customWidth="1"/>
    <col min="18" max="18" width="23.7109375" style="137" customWidth="1"/>
    <col min="19" max="21" width="9.140625" style="137" customWidth="1"/>
    <col min="22" max="22" width="30.7109375" style="137" customWidth="1"/>
    <col min="23" max="26" width="9.140625" style="137" customWidth="1"/>
    <col min="27" max="16384" width="14.42578125" style="137"/>
  </cols>
  <sheetData>
    <row r="1" spans="1:26" ht="21" customHeight="1" x14ac:dyDescent="0.3">
      <c r="A1" s="1209" t="s">
        <v>1449</v>
      </c>
      <c r="B1" s="1198"/>
      <c r="C1" s="1198"/>
      <c r="D1" s="1198"/>
      <c r="E1" s="1198"/>
      <c r="F1" s="1198"/>
      <c r="G1" s="1198"/>
      <c r="H1" s="1198"/>
      <c r="I1" s="1198"/>
      <c r="J1" s="1198"/>
      <c r="K1" s="41"/>
      <c r="L1" s="41"/>
      <c r="M1" s="56"/>
      <c r="N1" s="41"/>
      <c r="O1" s="41"/>
      <c r="P1" s="41"/>
      <c r="Q1" s="41"/>
      <c r="R1" s="41"/>
      <c r="S1" s="41"/>
      <c r="T1" s="41"/>
      <c r="U1" s="41"/>
      <c r="V1" s="56"/>
      <c r="W1" s="41"/>
      <c r="X1" s="41"/>
      <c r="Y1" s="41"/>
      <c r="Z1" s="41"/>
    </row>
    <row r="2" spans="1:26" ht="21" customHeight="1" x14ac:dyDescent="0.3">
      <c r="A2" s="379"/>
      <c r="B2" s="379"/>
      <c r="C2" s="379"/>
      <c r="D2" s="379"/>
      <c r="E2" s="380"/>
      <c r="F2" s="379"/>
      <c r="G2" s="323"/>
      <c r="H2" s="381" t="s">
        <v>75</v>
      </c>
      <c r="I2" s="37"/>
      <c r="J2" s="382"/>
      <c r="K2" s="41"/>
      <c r="L2" s="41"/>
      <c r="M2" s="55"/>
      <c r="N2" s="41"/>
      <c r="O2" s="41"/>
      <c r="P2" s="41"/>
      <c r="Q2" s="41"/>
      <c r="R2" s="41"/>
      <c r="S2" s="41"/>
      <c r="T2" s="41"/>
      <c r="U2" s="41"/>
      <c r="V2" s="56"/>
      <c r="W2" s="41"/>
      <c r="X2" s="41"/>
      <c r="Y2" s="41"/>
      <c r="Z2" s="41"/>
    </row>
    <row r="3" spans="1:26" ht="21" customHeight="1" x14ac:dyDescent="0.3">
      <c r="A3" s="383" t="s">
        <v>77</v>
      </c>
      <c r="B3" s="384" t="s">
        <v>78</v>
      </c>
      <c r="C3" s="384" t="s">
        <v>79</v>
      </c>
      <c r="D3" s="1225" t="s">
        <v>80</v>
      </c>
      <c r="E3" s="1195"/>
      <c r="F3" s="1196"/>
      <c r="G3" s="1225" t="s">
        <v>81</v>
      </c>
      <c r="H3" s="1195"/>
      <c r="I3" s="1196"/>
      <c r="J3" s="385" t="s">
        <v>10</v>
      </c>
      <c r="K3" s="41"/>
      <c r="L3" s="41"/>
      <c r="M3" s="55"/>
      <c r="N3" s="37"/>
      <c r="O3" s="41"/>
      <c r="P3" s="41"/>
      <c r="Q3" s="41"/>
      <c r="R3" s="41"/>
      <c r="S3" s="41"/>
      <c r="T3" s="41"/>
      <c r="U3" s="41"/>
      <c r="V3" s="56"/>
      <c r="W3" s="41"/>
      <c r="X3" s="41"/>
      <c r="Y3" s="41"/>
      <c r="Z3" s="41"/>
    </row>
    <row r="4" spans="1:26" ht="21" customHeight="1" x14ac:dyDescent="0.3">
      <c r="A4" s="386"/>
      <c r="B4" s="387" t="s">
        <v>82</v>
      </c>
      <c r="C4" s="387" t="s">
        <v>82</v>
      </c>
      <c r="D4" s="387" t="s">
        <v>83</v>
      </c>
      <c r="E4" s="388" t="s">
        <v>10</v>
      </c>
      <c r="F4" s="387" t="s">
        <v>83</v>
      </c>
      <c r="G4" s="387" t="s">
        <v>83</v>
      </c>
      <c r="H4" s="388" t="s">
        <v>84</v>
      </c>
      <c r="I4" s="387" t="s">
        <v>83</v>
      </c>
      <c r="J4" s="388" t="s">
        <v>85</v>
      </c>
      <c r="K4" s="41"/>
      <c r="L4" s="41"/>
      <c r="M4" s="55"/>
      <c r="N4" s="37"/>
      <c r="O4" s="41"/>
      <c r="P4" s="41"/>
      <c r="Q4" s="41"/>
      <c r="R4" s="41"/>
      <c r="S4" s="41"/>
      <c r="T4" s="41"/>
      <c r="U4" s="41"/>
      <c r="V4" s="56"/>
      <c r="W4" s="41"/>
      <c r="X4" s="41"/>
      <c r="Y4" s="41"/>
      <c r="Z4" s="41"/>
    </row>
    <row r="5" spans="1:26" ht="21" customHeight="1" x14ac:dyDescent="0.3">
      <c r="A5" s="389"/>
      <c r="B5" s="390" t="s">
        <v>7</v>
      </c>
      <c r="C5" s="390" t="s">
        <v>8</v>
      </c>
      <c r="D5" s="390"/>
      <c r="E5" s="391" t="str">
        <f>'รวมใบกัน ม.ค. 68'!E5</f>
        <v>ณ 31 ม.ค. 68</v>
      </c>
      <c r="F5" s="390" t="s">
        <v>86</v>
      </c>
      <c r="G5" s="390"/>
      <c r="H5" s="391" t="str">
        <f>'รวมใบกัน ม.ค. 68'!H5</f>
        <v>ณ 31 ม.ค. 68</v>
      </c>
      <c r="I5" s="390" t="s">
        <v>86</v>
      </c>
      <c r="J5" s="391" t="str">
        <f>'รวมใบกัน ม.ค. 68'!J5</f>
        <v>ณ 31 ม.ค. 68</v>
      </c>
      <c r="K5" s="41"/>
      <c r="L5" s="41"/>
      <c r="M5" s="55"/>
      <c r="N5" s="37"/>
      <c r="O5" s="41"/>
      <c r="P5" s="41"/>
      <c r="Q5" s="41"/>
      <c r="R5" s="41"/>
      <c r="S5" s="41"/>
      <c r="T5" s="41"/>
      <c r="U5" s="41"/>
      <c r="V5" s="56"/>
      <c r="W5" s="41"/>
      <c r="X5" s="41"/>
      <c r="Y5" s="41"/>
      <c r="Z5" s="41"/>
    </row>
    <row r="6" spans="1:26" ht="21" customHeight="1" x14ac:dyDescent="0.3">
      <c r="A6" s="392" t="s">
        <v>359</v>
      </c>
      <c r="B6" s="174" t="s">
        <v>17</v>
      </c>
      <c r="C6" s="174" t="s">
        <v>88</v>
      </c>
      <c r="D6" s="174" t="s">
        <v>19</v>
      </c>
      <c r="E6" s="393" t="s">
        <v>20</v>
      </c>
      <c r="F6" s="174" t="s">
        <v>89</v>
      </c>
      <c r="G6" s="174" t="s">
        <v>65</v>
      </c>
      <c r="H6" s="394" t="s">
        <v>90</v>
      </c>
      <c r="I6" s="174" t="s">
        <v>91</v>
      </c>
      <c r="J6" s="393" t="s">
        <v>92</v>
      </c>
      <c r="K6" s="395"/>
      <c r="L6" s="395"/>
      <c r="M6" s="396"/>
      <c r="N6" s="395"/>
      <c r="O6" s="395"/>
      <c r="P6" s="395"/>
      <c r="Q6" s="395"/>
      <c r="R6" s="397"/>
      <c r="S6" s="395"/>
      <c r="T6" s="395"/>
      <c r="U6" s="395"/>
      <c r="V6" s="396"/>
      <c r="W6" s="395"/>
      <c r="X6" s="395"/>
      <c r="Y6" s="395"/>
      <c r="Z6" s="395"/>
    </row>
    <row r="7" spans="1:26" ht="21" customHeight="1" x14ac:dyDescent="0.3">
      <c r="A7" s="51" t="s">
        <v>93</v>
      </c>
      <c r="B7" s="398">
        <f t="shared" ref="B7" si="0">SUM(B8)</f>
        <v>482000700</v>
      </c>
      <c r="C7" s="398">
        <f>SUM(C8)</f>
        <v>372642700</v>
      </c>
      <c r="D7" s="398">
        <f>SUM(D8)</f>
        <v>355770220</v>
      </c>
      <c r="E7" s="399">
        <f t="shared" ref="E7:H7" si="1">SUM(E8)</f>
        <v>181822439.03999999</v>
      </c>
      <c r="F7" s="398">
        <f>SUM(F8)</f>
        <v>173947780.96000001</v>
      </c>
      <c r="G7" s="398">
        <f t="shared" ref="G7" si="2">SUM(G8)</f>
        <v>16872480</v>
      </c>
      <c r="H7" s="399">
        <f t="shared" si="1"/>
        <v>15799861.380000001</v>
      </c>
      <c r="I7" s="398">
        <f>SUM(I8)</f>
        <v>1072618.6199999996</v>
      </c>
      <c r="J7" s="399">
        <f>SUM(J8)</f>
        <v>197622300.41999999</v>
      </c>
      <c r="K7" s="56"/>
      <c r="L7" s="56"/>
      <c r="M7" s="55">
        <f>165702246.33+205987464.26</f>
        <v>371689710.59000003</v>
      </c>
      <c r="N7" s="682">
        <f>J7-M7</f>
        <v>-174067410.17000005</v>
      </c>
      <c r="O7" s="56"/>
      <c r="P7" s="56"/>
      <c r="Q7" s="55"/>
      <c r="R7" s="55"/>
      <c r="S7" s="56"/>
      <c r="T7" s="56"/>
      <c r="U7" s="56"/>
      <c r="V7" s="55"/>
      <c r="W7" s="56"/>
      <c r="X7" s="56"/>
      <c r="Y7" s="56"/>
      <c r="Z7" s="56"/>
    </row>
    <row r="8" spans="1:26" ht="21" customHeight="1" x14ac:dyDescent="0.3">
      <c r="A8" s="51" t="s">
        <v>94</v>
      </c>
      <c r="B8" s="398">
        <f t="shared" ref="B8" si="3">SUM(B9+B33)</f>
        <v>482000700</v>
      </c>
      <c r="C8" s="398">
        <f>SUM(C9+C33)</f>
        <v>372642700</v>
      </c>
      <c r="D8" s="398">
        <f>SUM(D9+D33)</f>
        <v>355770220</v>
      </c>
      <c r="E8" s="399">
        <f>SUM(E9+E33)</f>
        <v>181822439.03999999</v>
      </c>
      <c r="F8" s="398">
        <f>SUM(F9+F33)</f>
        <v>173947780.96000001</v>
      </c>
      <c r="G8" s="398">
        <f t="shared" ref="G8" si="4">SUM(G9+G33)</f>
        <v>16872480</v>
      </c>
      <c r="H8" s="399">
        <f>SUM(H9+H33)</f>
        <v>15799861.380000001</v>
      </c>
      <c r="I8" s="398">
        <f>SUM(I9+I33)</f>
        <v>1072618.6199999996</v>
      </c>
      <c r="J8" s="399">
        <f>SUM(J9+J33)</f>
        <v>197622300.41999999</v>
      </c>
      <c r="K8" s="56"/>
      <c r="L8" s="56"/>
      <c r="M8" s="55"/>
      <c r="N8" s="56"/>
      <c r="O8" s="56"/>
      <c r="P8" s="56"/>
      <c r="Q8" s="56"/>
      <c r="R8" s="41"/>
      <c r="S8" s="56"/>
      <c r="T8" s="56"/>
      <c r="U8" s="56"/>
      <c r="V8" s="56"/>
      <c r="W8" s="56"/>
      <c r="X8" s="56"/>
      <c r="Y8" s="56"/>
      <c r="Z8" s="56"/>
    </row>
    <row r="9" spans="1:26" ht="21" customHeight="1" x14ac:dyDescent="0.3">
      <c r="A9" s="52" t="s">
        <v>41</v>
      </c>
      <c r="B9" s="398">
        <f t="shared" ref="B9:D9" si="5">SUM(B10+B24)</f>
        <v>163832100</v>
      </c>
      <c r="C9" s="398">
        <f t="shared" si="5"/>
        <v>81234300</v>
      </c>
      <c r="D9" s="398">
        <f t="shared" si="5"/>
        <v>67761720</v>
      </c>
      <c r="E9" s="399">
        <f>SUM(E10+E24)</f>
        <v>47976629.009999998</v>
      </c>
      <c r="F9" s="398">
        <f t="shared" ref="F9:G9" si="6">SUM(F10+F24)</f>
        <v>19785090.989999998</v>
      </c>
      <c r="G9" s="398">
        <f t="shared" si="6"/>
        <v>13472580</v>
      </c>
      <c r="H9" s="399">
        <f>SUM(H10+H24)</f>
        <v>12488712.370000001</v>
      </c>
      <c r="I9" s="398">
        <f t="shared" ref="I9" si="7">SUM(I10+I24)</f>
        <v>983867.62999999966</v>
      </c>
      <c r="J9" s="399">
        <f>SUM(J10+J24)</f>
        <v>60465341.379999995</v>
      </c>
      <c r="K9" s="56"/>
      <c r="L9" s="56"/>
      <c r="M9" s="55"/>
      <c r="N9" s="56"/>
      <c r="O9" s="56"/>
      <c r="P9" s="56"/>
      <c r="Q9" s="56"/>
      <c r="R9" s="37"/>
      <c r="S9" s="56"/>
      <c r="T9" s="56"/>
      <c r="U9" s="56"/>
      <c r="V9" s="55"/>
      <c r="W9" s="56"/>
      <c r="X9" s="56"/>
      <c r="Y9" s="56"/>
      <c r="Z9" s="56"/>
    </row>
    <row r="10" spans="1:26" ht="21" customHeight="1" x14ac:dyDescent="0.3">
      <c r="A10" s="52" t="s">
        <v>95</v>
      </c>
      <c r="B10" s="398">
        <v>155419800</v>
      </c>
      <c r="C10" s="398">
        <f t="shared" ref="C10" si="8">SUM(C11+C22+C23)</f>
        <v>76487000</v>
      </c>
      <c r="D10" s="398">
        <f>SUM(D11+D22+D23)</f>
        <v>67613920</v>
      </c>
      <c r="E10" s="399">
        <f>SUM(E11+E22+E23)</f>
        <v>47873463.449999996</v>
      </c>
      <c r="F10" s="398">
        <f>SUM(F11+F22+F23)</f>
        <v>19740456.549999997</v>
      </c>
      <c r="G10" s="398">
        <f t="shared" ref="G10" si="9">SUM(G11+G22+G23)</f>
        <v>8873080</v>
      </c>
      <c r="H10" s="399">
        <f t="shared" ref="H10:J10" si="10">SUM(H11+H22+H23)</f>
        <v>8077063.9600000009</v>
      </c>
      <c r="I10" s="398">
        <f t="shared" ref="I10" si="11">SUM(I11+I22+I23)</f>
        <v>796016.03999999957</v>
      </c>
      <c r="J10" s="399">
        <f t="shared" si="10"/>
        <v>55950527.409999996</v>
      </c>
      <c r="K10" s="41"/>
      <c r="L10" s="41"/>
      <c r="M10" s="55">
        <v>155414553.77000001</v>
      </c>
      <c r="N10" s="400">
        <f>J10-M10</f>
        <v>-99464026.360000014</v>
      </c>
      <c r="O10" s="41"/>
      <c r="P10" s="41"/>
      <c r="Q10" s="37"/>
      <c r="R10" s="401"/>
      <c r="S10" s="41"/>
      <c r="T10" s="41"/>
      <c r="U10" s="41"/>
      <c r="V10" s="55"/>
      <c r="W10" s="41"/>
      <c r="X10" s="41"/>
      <c r="Y10" s="41"/>
      <c r="Z10" s="41"/>
    </row>
    <row r="11" spans="1:26" ht="21" customHeight="1" x14ac:dyDescent="0.3">
      <c r="A11" s="52" t="s">
        <v>96</v>
      </c>
      <c r="B11" s="398">
        <v>140316500</v>
      </c>
      <c r="C11" s="398">
        <f t="shared" ref="C11:D11" si="12">SUM(C12+C21)</f>
        <v>68935600</v>
      </c>
      <c r="D11" s="398">
        <f t="shared" si="12"/>
        <v>64200420</v>
      </c>
      <c r="E11" s="399">
        <f t="shared" ref="E11:H11" si="13">SUM(E12+E21)</f>
        <v>45641442.809999995</v>
      </c>
      <c r="F11" s="398">
        <f t="shared" si="13"/>
        <v>18558977.189999998</v>
      </c>
      <c r="G11" s="398">
        <f t="shared" si="13"/>
        <v>4735180</v>
      </c>
      <c r="H11" s="399">
        <f t="shared" si="13"/>
        <v>4183236.6500000004</v>
      </c>
      <c r="I11" s="398">
        <f>SUM(I12+I21)</f>
        <v>551943.34999999963</v>
      </c>
      <c r="J11" s="399">
        <f>SUM(J12+J21)</f>
        <v>49824679.459999993</v>
      </c>
      <c r="K11" s="41"/>
      <c r="L11" s="41"/>
      <c r="M11" s="55"/>
      <c r="N11" s="400"/>
      <c r="O11" s="41"/>
      <c r="P11" s="41"/>
      <c r="Q11" s="41"/>
      <c r="R11" s="402"/>
      <c r="S11" s="41"/>
      <c r="T11" s="41"/>
      <c r="U11" s="41"/>
      <c r="V11" s="55"/>
      <c r="W11" s="41"/>
      <c r="X11" s="41"/>
      <c r="Y11" s="41"/>
      <c r="Z11" s="41"/>
    </row>
    <row r="12" spans="1:26" ht="21" customHeight="1" x14ac:dyDescent="0.3">
      <c r="A12" s="403" t="s">
        <v>97</v>
      </c>
      <c r="B12" s="62">
        <f>SUM(B13:B16)</f>
        <v>137355500</v>
      </c>
      <c r="C12" s="62">
        <f t="shared" ref="C12:D12" si="14">SUM(C13:C16)</f>
        <v>67484800</v>
      </c>
      <c r="D12" s="62">
        <f t="shared" si="14"/>
        <v>62749620</v>
      </c>
      <c r="E12" s="404">
        <f t="shared" ref="E12:H12" si="15">SUM(E13:E16)</f>
        <v>44690002.809999995</v>
      </c>
      <c r="F12" s="62">
        <f t="shared" ref="F12:G12" si="16">SUM(F13:F16)</f>
        <v>18059617.189999998</v>
      </c>
      <c r="G12" s="62">
        <f t="shared" si="16"/>
        <v>4735180</v>
      </c>
      <c r="H12" s="404">
        <f t="shared" si="15"/>
        <v>4183236.6500000004</v>
      </c>
      <c r="I12" s="62">
        <f t="shared" ref="I12" si="17">SUM(I13:I16)</f>
        <v>551943.34999999963</v>
      </c>
      <c r="J12" s="404">
        <f>SUM(J13:J16)</f>
        <v>48873239.459999993</v>
      </c>
      <c r="K12" s="56"/>
      <c r="L12" s="56"/>
      <c r="M12" s="55"/>
      <c r="N12" s="56"/>
      <c r="O12" s="56"/>
      <c r="P12" s="56"/>
      <c r="Q12" s="56"/>
      <c r="R12" s="41"/>
      <c r="S12" s="56"/>
      <c r="T12" s="56"/>
      <c r="U12" s="56"/>
      <c r="V12" s="56"/>
      <c r="W12" s="56"/>
      <c r="X12" s="56"/>
      <c r="Y12" s="56"/>
      <c r="Z12" s="56"/>
    </row>
    <row r="13" spans="1:26" ht="21" customHeight="1" x14ac:dyDescent="0.3">
      <c r="A13" s="123" t="s">
        <v>98</v>
      </c>
      <c r="B13" s="35">
        <v>119286300</v>
      </c>
      <c r="C13" s="35">
        <v>58450200</v>
      </c>
      <c r="D13" s="684">
        <v>57295620</v>
      </c>
      <c r="E13" s="405">
        <f>'GF 100'!B120-H13-15344.52</f>
        <v>40847079.710000001</v>
      </c>
      <c r="F13" s="35">
        <f>D13-E13</f>
        <v>16448540.289999999</v>
      </c>
      <c r="G13" s="35">
        <v>1154580</v>
      </c>
      <c r="H13" s="405">
        <f>4*192430</f>
        <v>769720</v>
      </c>
      <c r="I13" s="35">
        <f>G13-H13</f>
        <v>384860</v>
      </c>
      <c r="J13" s="405">
        <f>SUM(E13+H13)</f>
        <v>41616799.710000001</v>
      </c>
      <c r="K13" s="41"/>
      <c r="L13" s="41"/>
      <c r="M13" s="55"/>
      <c r="N13" s="41"/>
      <c r="O13" s="37"/>
      <c r="P13" s="41"/>
      <c r="Q13" s="41"/>
      <c r="R13" s="41"/>
      <c r="S13" s="41"/>
      <c r="T13" s="41"/>
      <c r="U13" s="41"/>
      <c r="V13" s="56"/>
      <c r="W13" s="41"/>
      <c r="X13" s="41"/>
      <c r="Y13" s="41"/>
      <c r="Z13" s="41"/>
    </row>
    <row r="14" spans="1:26" ht="21" customHeight="1" x14ac:dyDescent="0.3">
      <c r="A14" s="123" t="s">
        <v>99</v>
      </c>
      <c r="B14" s="35">
        <v>4314000</v>
      </c>
      <c r="C14" s="35">
        <v>2157000</v>
      </c>
      <c r="D14" s="684">
        <v>1977000</v>
      </c>
      <c r="E14" s="405">
        <f>'GF 100'!D120-H14</f>
        <v>1403068.16</v>
      </c>
      <c r="F14" s="35">
        <f>D14-E14</f>
        <v>573931.84000000008</v>
      </c>
      <c r="G14" s="35">
        <v>180000</v>
      </c>
      <c r="H14" s="405">
        <f>30000+30000+30000+30000</f>
        <v>120000</v>
      </c>
      <c r="I14" s="35">
        <f t="shared" ref="I14:I15" si="18">G14-H14</f>
        <v>60000</v>
      </c>
      <c r="J14" s="405">
        <f>SUM(E14+H14)</f>
        <v>1523068.16</v>
      </c>
      <c r="K14" s="41"/>
      <c r="L14" s="41"/>
      <c r="M14" s="55"/>
      <c r="N14" s="41"/>
      <c r="O14" s="41"/>
      <c r="P14" s="41"/>
      <c r="Q14" s="41"/>
      <c r="R14" s="41"/>
      <c r="S14" s="41"/>
      <c r="T14" s="41"/>
      <c r="U14" s="41"/>
      <c r="V14" s="56"/>
      <c r="W14" s="41"/>
      <c r="X14" s="41"/>
      <c r="Y14" s="41"/>
      <c r="Z14" s="41"/>
    </row>
    <row r="15" spans="1:26" ht="21" customHeight="1" x14ac:dyDescent="0.3">
      <c r="A15" s="123" t="s">
        <v>100</v>
      </c>
      <c r="B15" s="35">
        <v>6441200</v>
      </c>
      <c r="C15" s="35">
        <v>3220600</v>
      </c>
      <c r="D15" s="35">
        <v>0</v>
      </c>
      <c r="E15" s="405">
        <v>0</v>
      </c>
      <c r="F15" s="35">
        <f>D15-E15</f>
        <v>0</v>
      </c>
      <c r="G15" s="35">
        <v>3220600</v>
      </c>
      <c r="H15" s="405">
        <f>3748.95+3169767.7</f>
        <v>3173516.6500000004</v>
      </c>
      <c r="I15" s="35">
        <f t="shared" si="18"/>
        <v>47083.349999999627</v>
      </c>
      <c r="J15" s="405">
        <f>SUM(E15+H15)</f>
        <v>3173516.6500000004</v>
      </c>
    </row>
    <row r="16" spans="1:26" ht="21" customHeight="1" x14ac:dyDescent="0.3">
      <c r="A16" s="403" t="s">
        <v>101</v>
      </c>
      <c r="B16" s="62">
        <f t="shared" ref="B16:D16" si="19">SUM(B17:B20)</f>
        <v>7314000</v>
      </c>
      <c r="C16" s="62">
        <f t="shared" si="19"/>
        <v>3657000</v>
      </c>
      <c r="D16" s="62">
        <f t="shared" si="19"/>
        <v>3477000</v>
      </c>
      <c r="E16" s="404">
        <f t="shared" ref="E16:H16" si="20">SUM(E17:E20)</f>
        <v>2439854.94</v>
      </c>
      <c r="F16" s="62">
        <f t="shared" ref="F16:G16" si="21">SUM(F17:F20)</f>
        <v>1037145.06</v>
      </c>
      <c r="G16" s="62">
        <f t="shared" si="21"/>
        <v>180000</v>
      </c>
      <c r="H16" s="404">
        <f t="shared" si="20"/>
        <v>120000</v>
      </c>
      <c r="I16" s="62">
        <f t="shared" ref="I16" si="22">SUM(I17:I20)</f>
        <v>60000</v>
      </c>
      <c r="J16" s="404">
        <f>SUM(J17:J20)</f>
        <v>2559854.94</v>
      </c>
    </row>
    <row r="17" spans="1:18" ht="21" customHeight="1" x14ac:dyDescent="0.3">
      <c r="A17" s="123" t="s">
        <v>102</v>
      </c>
      <c r="B17" s="35">
        <v>2772000</v>
      </c>
      <c r="C17" s="35">
        <v>1386000</v>
      </c>
      <c r="D17" s="35">
        <v>1386000</v>
      </c>
      <c r="E17" s="405">
        <f>'GF 100'!E120</f>
        <v>934519.03</v>
      </c>
      <c r="F17" s="35">
        <f t="shared" ref="F17:F20" si="23">D17-E17</f>
        <v>451480.97</v>
      </c>
      <c r="G17" s="35">
        <v>0</v>
      </c>
      <c r="H17" s="405">
        <v>0</v>
      </c>
      <c r="I17" s="35">
        <v>0</v>
      </c>
      <c r="J17" s="405">
        <f t="shared" ref="J17:J23" si="24">SUM(E17+H17)</f>
        <v>934519.03</v>
      </c>
    </row>
    <row r="18" spans="1:18" ht="21" customHeight="1" x14ac:dyDescent="0.3">
      <c r="A18" s="123" t="s">
        <v>103</v>
      </c>
      <c r="B18" s="35">
        <v>4272000</v>
      </c>
      <c r="C18" s="35">
        <v>2136000</v>
      </c>
      <c r="D18" s="684">
        <v>1956000</v>
      </c>
      <c r="E18" s="405">
        <f>'GF 100'!F120-H18</f>
        <v>1353593.97</v>
      </c>
      <c r="F18" s="35">
        <f t="shared" si="23"/>
        <v>602406.03</v>
      </c>
      <c r="G18" s="35">
        <v>180000</v>
      </c>
      <c r="H18" s="405">
        <f>30000+30000+30000+30000</f>
        <v>120000</v>
      </c>
      <c r="I18" s="35">
        <f t="shared" ref="I18" si="25">G18-H18</f>
        <v>60000</v>
      </c>
      <c r="J18" s="405">
        <f t="shared" si="24"/>
        <v>1473593.97</v>
      </c>
    </row>
    <row r="19" spans="1:18" ht="21" customHeight="1" x14ac:dyDescent="0.3">
      <c r="A19" s="123" t="s">
        <v>104</v>
      </c>
      <c r="B19" s="35">
        <v>270000</v>
      </c>
      <c r="C19" s="35">
        <v>135000</v>
      </c>
      <c r="D19" s="35">
        <v>135000</v>
      </c>
      <c r="E19" s="405">
        <f>'GF 100'!G120</f>
        <v>120000</v>
      </c>
      <c r="F19" s="35">
        <f t="shared" si="23"/>
        <v>15000</v>
      </c>
      <c r="G19" s="35">
        <v>0</v>
      </c>
      <c r="H19" s="405">
        <v>0</v>
      </c>
      <c r="I19" s="35">
        <v>0</v>
      </c>
      <c r="J19" s="405">
        <f t="shared" si="24"/>
        <v>120000</v>
      </c>
    </row>
    <row r="20" spans="1:18" ht="21" customHeight="1" x14ac:dyDescent="0.3">
      <c r="A20" s="123" t="s">
        <v>105</v>
      </c>
      <c r="B20" s="35">
        <v>0</v>
      </c>
      <c r="C20" s="35">
        <v>0</v>
      </c>
      <c r="D20" s="35">
        <v>0</v>
      </c>
      <c r="E20" s="405">
        <f>SUM('GF 100'!H120)</f>
        <v>31741.94</v>
      </c>
      <c r="F20" s="35">
        <f t="shared" si="23"/>
        <v>-31741.94</v>
      </c>
      <c r="G20" s="62">
        <v>0</v>
      </c>
      <c r="H20" s="405">
        <v>0</v>
      </c>
      <c r="I20" s="35">
        <v>0</v>
      </c>
      <c r="J20" s="405">
        <f t="shared" si="24"/>
        <v>31741.94</v>
      </c>
    </row>
    <row r="21" spans="1:18" ht="21" customHeight="1" x14ac:dyDescent="0.3">
      <c r="A21" s="403" t="s">
        <v>106</v>
      </c>
      <c r="B21" s="62">
        <v>2961000</v>
      </c>
      <c r="C21" s="62">
        <v>1450800</v>
      </c>
      <c r="D21" s="62">
        <v>1450800</v>
      </c>
      <c r="E21" s="404">
        <f>'GF 100'!C120</f>
        <v>951440</v>
      </c>
      <c r="F21" s="62">
        <f>D21-E21</f>
        <v>499360</v>
      </c>
      <c r="G21" s="62">
        <v>0</v>
      </c>
      <c r="H21" s="404">
        <v>0</v>
      </c>
      <c r="I21" s="62">
        <v>0</v>
      </c>
      <c r="J21" s="404">
        <f t="shared" si="24"/>
        <v>951440</v>
      </c>
    </row>
    <row r="22" spans="1:18" ht="21" customHeight="1" x14ac:dyDescent="0.3">
      <c r="A22" s="403" t="s">
        <v>1436</v>
      </c>
      <c r="B22" s="62">
        <v>8275800</v>
      </c>
      <c r="C22" s="62">
        <v>4137900</v>
      </c>
      <c r="D22" s="62">
        <v>0</v>
      </c>
      <c r="E22" s="405">
        <v>0</v>
      </c>
      <c r="F22" s="35">
        <f>D22-E22</f>
        <v>0</v>
      </c>
      <c r="G22" s="387">
        <v>4137900</v>
      </c>
      <c r="H22" s="388">
        <v>3893827.31</v>
      </c>
      <c r="I22" s="35">
        <f t="shared" ref="I22" si="26">G22-H22</f>
        <v>244072.68999999994</v>
      </c>
      <c r="J22" s="404">
        <f t="shared" si="24"/>
        <v>3893827.31</v>
      </c>
    </row>
    <row r="23" spans="1:18" ht="21" customHeight="1" x14ac:dyDescent="0.3">
      <c r="A23" s="403" t="s">
        <v>108</v>
      </c>
      <c r="B23" s="62">
        <v>6827500</v>
      </c>
      <c r="C23" s="62">
        <v>3413500</v>
      </c>
      <c r="D23" s="62">
        <v>3413500</v>
      </c>
      <c r="E23" s="404">
        <f>'GF 260'!B102</f>
        <v>2232020.64</v>
      </c>
      <c r="F23" s="62">
        <f>D23-E23</f>
        <v>1181479.3599999999</v>
      </c>
      <c r="G23" s="387">
        <v>0</v>
      </c>
      <c r="H23" s="388">
        <v>0</v>
      </c>
      <c r="I23" s="62">
        <v>0</v>
      </c>
      <c r="J23" s="404">
        <f t="shared" si="24"/>
        <v>2232020.64</v>
      </c>
    </row>
    <row r="24" spans="1:18" ht="21" customHeight="1" x14ac:dyDescent="0.3">
      <c r="A24" s="149" t="s">
        <v>1435</v>
      </c>
      <c r="B24" s="150">
        <f t="shared" ref="B24:D24" si="27">SUM(B25)</f>
        <v>8412300</v>
      </c>
      <c r="C24" s="150">
        <f t="shared" si="27"/>
        <v>4747300</v>
      </c>
      <c r="D24" s="150">
        <f t="shared" si="27"/>
        <v>147800</v>
      </c>
      <c r="E24" s="406">
        <f t="shared" ref="E24:J24" si="28">SUM(E25)</f>
        <v>103165.56</v>
      </c>
      <c r="F24" s="150">
        <f t="shared" ref="F24:G24" si="29">SUM(F25)</f>
        <v>44634.44</v>
      </c>
      <c r="G24" s="150">
        <f t="shared" si="29"/>
        <v>4599500</v>
      </c>
      <c r="H24" s="406">
        <f t="shared" si="28"/>
        <v>4411648.41</v>
      </c>
      <c r="I24" s="150">
        <f t="shared" ref="I24" si="30">SUM(I25)</f>
        <v>187851.59000000008</v>
      </c>
      <c r="J24" s="406">
        <f t="shared" si="28"/>
        <v>4514813.97</v>
      </c>
    </row>
    <row r="25" spans="1:18" ht="21" customHeight="1" x14ac:dyDescent="0.3">
      <c r="A25" s="149" t="s">
        <v>110</v>
      </c>
      <c r="B25" s="150">
        <f t="shared" ref="B25:D25" si="31">SUM(B27:B32)</f>
        <v>8412300</v>
      </c>
      <c r="C25" s="150">
        <f t="shared" si="31"/>
        <v>4747300</v>
      </c>
      <c r="D25" s="150">
        <f t="shared" si="31"/>
        <v>147800</v>
      </c>
      <c r="E25" s="406">
        <f t="shared" ref="E25:H25" si="32">SUM(E27:E32)</f>
        <v>103165.56</v>
      </c>
      <c r="F25" s="150">
        <f t="shared" ref="F25:G25" si="33">SUM(F27:F32)</f>
        <v>44634.44</v>
      </c>
      <c r="G25" s="150">
        <f t="shared" si="33"/>
        <v>4599500</v>
      </c>
      <c r="H25" s="406">
        <f t="shared" si="32"/>
        <v>4411648.41</v>
      </c>
      <c r="I25" s="150">
        <f t="shared" ref="I25" si="34">SUM(I27:I32)</f>
        <v>187851.59000000008</v>
      </c>
      <c r="J25" s="406">
        <f>SUM(J27:J32)</f>
        <v>4514813.97</v>
      </c>
    </row>
    <row r="26" spans="1:18" ht="21" customHeight="1" x14ac:dyDescent="0.3">
      <c r="A26" s="403" t="s">
        <v>1434</v>
      </c>
      <c r="B26" s="62"/>
      <c r="C26" s="62"/>
      <c r="D26" s="62"/>
      <c r="E26" s="404"/>
      <c r="F26" s="62"/>
      <c r="G26" s="62"/>
      <c r="H26" s="404"/>
      <c r="I26" s="62"/>
      <c r="J26" s="407"/>
    </row>
    <row r="27" spans="1:18" ht="21" customHeight="1" x14ac:dyDescent="0.3">
      <c r="A27" s="123" t="s">
        <v>112</v>
      </c>
      <c r="B27" s="35">
        <v>7052900</v>
      </c>
      <c r="C27" s="35">
        <f>SUM(D27+G27)</f>
        <v>3526500</v>
      </c>
      <c r="D27" s="35">
        <v>0</v>
      </c>
      <c r="E27" s="405">
        <v>0</v>
      </c>
      <c r="F27" s="35">
        <f>SUM(D27-E27)</f>
        <v>0</v>
      </c>
      <c r="G27" s="146">
        <v>3526500</v>
      </c>
      <c r="H27" s="408">
        <v>3406335.36</v>
      </c>
      <c r="I27" s="35">
        <f t="shared" ref="I27:I29" si="35">G27-H27</f>
        <v>120164.64000000013</v>
      </c>
      <c r="J27" s="405">
        <f>SUM(E27+H27)</f>
        <v>3406335.36</v>
      </c>
    </row>
    <row r="28" spans="1:18" ht="21" customHeight="1" x14ac:dyDescent="0.3">
      <c r="A28" s="123" t="s">
        <v>113</v>
      </c>
      <c r="B28" s="35">
        <v>42300</v>
      </c>
      <c r="C28" s="35">
        <f>SUM(D28+G28)</f>
        <v>21000</v>
      </c>
      <c r="D28" s="35">
        <v>21000</v>
      </c>
      <c r="E28" s="405">
        <f>'GF 300-400(ภาครัฐ)'!B120</f>
        <v>23111.56</v>
      </c>
      <c r="F28" s="35">
        <f>SUM(D28-E28)</f>
        <v>-2111.5600000000013</v>
      </c>
      <c r="G28" s="146">
        <v>0</v>
      </c>
      <c r="H28" s="408">
        <v>0</v>
      </c>
      <c r="I28" s="35">
        <f t="shared" si="35"/>
        <v>0</v>
      </c>
      <c r="J28" s="405">
        <f>SUM(E28+H28)</f>
        <v>23111.56</v>
      </c>
    </row>
    <row r="29" spans="1:18" ht="21" customHeight="1" x14ac:dyDescent="0.3">
      <c r="A29" s="123" t="s">
        <v>114</v>
      </c>
      <c r="B29" s="35">
        <v>1073000</v>
      </c>
      <c r="C29" s="35">
        <f>SUM(D29+G29)</f>
        <v>1073000</v>
      </c>
      <c r="D29" s="35">
        <v>0</v>
      </c>
      <c r="E29" s="405">
        <v>0</v>
      </c>
      <c r="F29" s="35">
        <f>SUM(D29-E29)</f>
        <v>0</v>
      </c>
      <c r="G29" s="146">
        <v>1073000</v>
      </c>
      <c r="H29" s="408">
        <v>1005313.05</v>
      </c>
      <c r="I29" s="35">
        <f t="shared" si="35"/>
        <v>67686.949999999953</v>
      </c>
      <c r="J29" s="405">
        <f>SUM(E29+H29)</f>
        <v>1005313.05</v>
      </c>
    </row>
    <row r="30" spans="1:18" ht="21" customHeight="1" x14ac:dyDescent="0.3">
      <c r="A30" s="403" t="s">
        <v>1433</v>
      </c>
      <c r="B30" s="35"/>
      <c r="C30" s="35"/>
      <c r="D30" s="35"/>
      <c r="E30" s="405"/>
      <c r="F30" s="35"/>
      <c r="G30" s="146"/>
      <c r="H30" s="408"/>
      <c r="I30" s="35"/>
      <c r="J30" s="407"/>
      <c r="K30" s="41"/>
      <c r="L30" s="41"/>
      <c r="M30" s="55"/>
      <c r="N30" s="400"/>
    </row>
    <row r="31" spans="1:18" ht="21" customHeight="1" x14ac:dyDescent="0.3">
      <c r="A31" s="123" t="s">
        <v>116</v>
      </c>
      <c r="B31" s="35">
        <v>231900</v>
      </c>
      <c r="C31" s="35">
        <f>SUM(D31+G31)</f>
        <v>114600</v>
      </c>
      <c r="D31" s="35">
        <v>114600</v>
      </c>
      <c r="E31" s="405">
        <f>SUM('GF 300-400(ภาครัฐ)'!D120)</f>
        <v>74306</v>
      </c>
      <c r="F31" s="35">
        <f>SUM(D31-E31)</f>
        <v>40294</v>
      </c>
      <c r="G31" s="146">
        <v>0</v>
      </c>
      <c r="H31" s="408">
        <v>0</v>
      </c>
      <c r="I31" s="35">
        <f>SUM(G31-H31)</f>
        <v>0</v>
      </c>
      <c r="J31" s="405">
        <f>SUM(E31+H31)</f>
        <v>74306</v>
      </c>
      <c r="K31" s="41"/>
      <c r="L31" s="41"/>
      <c r="M31" s="409"/>
      <c r="N31" s="41"/>
    </row>
    <row r="32" spans="1:18" ht="21" customHeight="1" x14ac:dyDescent="0.3">
      <c r="A32" s="1008" t="s">
        <v>117</v>
      </c>
      <c r="B32" s="916">
        <v>12200</v>
      </c>
      <c r="C32" s="916">
        <f>SUM(D32+G32)</f>
        <v>12200</v>
      </c>
      <c r="D32" s="916">
        <v>12200</v>
      </c>
      <c r="E32" s="1009">
        <f>SUM('GF 300-400(ภาครัฐ)'!E120)</f>
        <v>5748</v>
      </c>
      <c r="F32" s="916">
        <f>SUM(D32-E32)</f>
        <v>6452</v>
      </c>
      <c r="G32" s="1010">
        <v>0</v>
      </c>
      <c r="H32" s="1011">
        <v>0</v>
      </c>
      <c r="I32" s="916">
        <f>SUM(G32-H32)</f>
        <v>0</v>
      </c>
      <c r="J32" s="1009">
        <f>SUM(E32+H32)</f>
        <v>5748</v>
      </c>
      <c r="K32" s="41"/>
      <c r="L32" s="41"/>
      <c r="M32" s="55"/>
      <c r="N32" s="41"/>
    </row>
    <row r="33" spans="1:18" ht="21" customHeight="1" x14ac:dyDescent="0.3">
      <c r="A33" s="149" t="s">
        <v>118</v>
      </c>
      <c r="B33" s="150">
        <f t="shared" ref="B33:J33" si="36">SUM(B37+B98+B118)</f>
        <v>318168600</v>
      </c>
      <c r="C33" s="150">
        <f t="shared" si="36"/>
        <v>291408400</v>
      </c>
      <c r="D33" s="150">
        <f t="shared" si="36"/>
        <v>288008500</v>
      </c>
      <c r="E33" s="406">
        <f t="shared" si="36"/>
        <v>133845810.03</v>
      </c>
      <c r="F33" s="150">
        <f t="shared" si="36"/>
        <v>154162689.97</v>
      </c>
      <c r="G33" s="150">
        <f t="shared" si="36"/>
        <v>3399900</v>
      </c>
      <c r="H33" s="406">
        <f t="shared" si="36"/>
        <v>3311149.01</v>
      </c>
      <c r="I33" s="150">
        <f t="shared" si="36"/>
        <v>88750.99</v>
      </c>
      <c r="J33" s="406">
        <f t="shared" si="36"/>
        <v>137156959.03999999</v>
      </c>
      <c r="K33" s="41"/>
      <c r="L33" s="41"/>
      <c r="M33" s="55">
        <v>205987464.25999999</v>
      </c>
      <c r="N33" s="400">
        <f>J33-M33</f>
        <v>-68830505.219999999</v>
      </c>
    </row>
    <row r="34" spans="1:18" ht="21" customHeight="1" x14ac:dyDescent="0.3">
      <c r="A34" s="149" t="s">
        <v>119</v>
      </c>
      <c r="B34" s="150"/>
      <c r="C34" s="150"/>
      <c r="D34" s="150"/>
      <c r="E34" s="406"/>
      <c r="F34" s="150"/>
      <c r="G34" s="150"/>
      <c r="H34" s="406"/>
      <c r="I34" s="150"/>
      <c r="J34" s="406"/>
      <c r="K34" s="41"/>
      <c r="L34" s="41"/>
      <c r="M34" s="55"/>
      <c r="N34" s="41"/>
    </row>
    <row r="35" spans="1:18" ht="21" customHeight="1" x14ac:dyDescent="0.3">
      <c r="A35" s="149" t="s">
        <v>120</v>
      </c>
      <c r="B35" s="150"/>
      <c r="C35" s="150"/>
      <c r="D35" s="150"/>
      <c r="E35" s="406"/>
      <c r="F35" s="150"/>
      <c r="G35" s="150"/>
      <c r="H35" s="406"/>
      <c r="I35" s="150"/>
      <c r="J35" s="406"/>
      <c r="K35" s="41"/>
      <c r="L35" s="41"/>
      <c r="M35" s="55"/>
      <c r="N35" s="41"/>
    </row>
    <row r="36" spans="1:18" ht="21" customHeight="1" x14ac:dyDescent="0.3">
      <c r="A36" s="149" t="s">
        <v>121</v>
      </c>
      <c r="B36" s="150"/>
      <c r="C36" s="150"/>
      <c r="D36" s="150"/>
      <c r="E36" s="406"/>
      <c r="F36" s="150"/>
      <c r="G36" s="150"/>
      <c r="H36" s="406"/>
      <c r="I36" s="150"/>
      <c r="J36" s="406"/>
      <c r="K36" s="41"/>
      <c r="L36" s="41"/>
      <c r="M36" s="55"/>
      <c r="N36" s="41"/>
    </row>
    <row r="37" spans="1:18" ht="21" customHeight="1" x14ac:dyDescent="0.3">
      <c r="A37" s="149" t="s">
        <v>122</v>
      </c>
      <c r="B37" s="150">
        <f t="shared" ref="B37:I37" si="37">SUM(B38+B86)</f>
        <v>43096000</v>
      </c>
      <c r="C37" s="150">
        <f t="shared" si="37"/>
        <v>32975500</v>
      </c>
      <c r="D37" s="150">
        <f t="shared" si="37"/>
        <v>29575600</v>
      </c>
      <c r="E37" s="406">
        <f t="shared" si="37"/>
        <v>5230894.8100000005</v>
      </c>
      <c r="F37" s="150">
        <f t="shared" si="37"/>
        <v>24344705.189999998</v>
      </c>
      <c r="G37" s="150">
        <f t="shared" si="37"/>
        <v>3399900</v>
      </c>
      <c r="H37" s="406">
        <f>SUM(H38+H86)</f>
        <v>3311149.01</v>
      </c>
      <c r="I37" s="150">
        <f t="shared" si="37"/>
        <v>88750.99</v>
      </c>
      <c r="J37" s="406">
        <f>SUM(J38+J86)</f>
        <v>8542043.8200000003</v>
      </c>
      <c r="K37" s="55"/>
      <c r="L37" s="55"/>
      <c r="M37" s="55">
        <v>39191263.359999999</v>
      </c>
      <c r="N37" s="400">
        <f>J37-M37</f>
        <v>-30649219.539999999</v>
      </c>
    </row>
    <row r="38" spans="1:18" ht="21" customHeight="1" x14ac:dyDescent="0.3">
      <c r="A38" s="149" t="s">
        <v>123</v>
      </c>
      <c r="B38" s="150">
        <f t="shared" ref="B38:I38" si="38">SUM(B39+B46+B77)</f>
        <v>31380300</v>
      </c>
      <c r="C38" s="150">
        <f t="shared" si="38"/>
        <v>25067900</v>
      </c>
      <c r="D38" s="150">
        <f t="shared" si="38"/>
        <v>22111000</v>
      </c>
      <c r="E38" s="406">
        <f>SUM(E39+E46+E77)</f>
        <v>2584906.34</v>
      </c>
      <c r="F38" s="150">
        <f t="shared" si="38"/>
        <v>19526093.659999996</v>
      </c>
      <c r="G38" s="150">
        <f t="shared" si="38"/>
        <v>2956900</v>
      </c>
      <c r="H38" s="406">
        <f>SUM(H39+H46+H77)</f>
        <v>2888149.5</v>
      </c>
      <c r="I38" s="150">
        <f t="shared" si="38"/>
        <v>68750.5</v>
      </c>
      <c r="J38" s="406">
        <f>SUM(J39+J46+J77)</f>
        <v>5473055.8399999999</v>
      </c>
      <c r="K38" s="41"/>
      <c r="L38" s="41"/>
      <c r="M38" s="55"/>
      <c r="N38" s="41"/>
    </row>
    <row r="39" spans="1:18" ht="21" customHeight="1" x14ac:dyDescent="0.3">
      <c r="A39" s="411" t="s">
        <v>124</v>
      </c>
      <c r="B39" s="62">
        <f t="shared" ref="B39:D39" si="39">SUM(B40:B45)</f>
        <v>5760000</v>
      </c>
      <c r="C39" s="62">
        <f t="shared" si="39"/>
        <v>2873800</v>
      </c>
      <c r="D39" s="62">
        <f t="shared" si="39"/>
        <v>1892600</v>
      </c>
      <c r="E39" s="404">
        <f>SUM(E40:E45)</f>
        <v>856245</v>
      </c>
      <c r="F39" s="62">
        <f t="shared" ref="F39:G39" si="40">SUM(F40:F45)</f>
        <v>1036355</v>
      </c>
      <c r="G39" s="62">
        <f t="shared" si="40"/>
        <v>981200</v>
      </c>
      <c r="H39" s="1001">
        <f>SUM(H40:H45)</f>
        <v>981300</v>
      </c>
      <c r="I39" s="62">
        <f>SUM(I40:I45)</f>
        <v>-100</v>
      </c>
      <c r="J39" s="1001">
        <f>SUM(J40:J45)</f>
        <v>1837545</v>
      </c>
      <c r="K39" s="56"/>
      <c r="L39" s="56"/>
      <c r="M39" s="55">
        <v>5297042.5199999996</v>
      </c>
      <c r="N39" s="400">
        <f>J39-M39</f>
        <v>-3459497.5199999996</v>
      </c>
    </row>
    <row r="40" spans="1:18" ht="21" customHeight="1" x14ac:dyDescent="0.3">
      <c r="A40" s="123" t="s">
        <v>125</v>
      </c>
      <c r="B40" s="684">
        <v>330000</v>
      </c>
      <c r="C40" s="35">
        <f t="shared" ref="C40:C45" si="41">SUM(D40+G40)</f>
        <v>165000</v>
      </c>
      <c r="D40" s="35">
        <v>165000</v>
      </c>
      <c r="E40" s="405">
        <f>SUM('GF 300'!C268)</f>
        <v>111950</v>
      </c>
      <c r="F40" s="35">
        <f t="shared" ref="F40:F45" si="42">SUM(D40-E40)</f>
        <v>53050</v>
      </c>
      <c r="G40" s="146">
        <v>0</v>
      </c>
      <c r="H40" s="1002">
        <v>0</v>
      </c>
      <c r="I40" s="35">
        <f t="shared" ref="I40:I45" si="43">SUM(G40-H40)</f>
        <v>0</v>
      </c>
      <c r="J40" s="405">
        <f>SUM(E40+H40)</f>
        <v>111950</v>
      </c>
      <c r="K40" s="41"/>
      <c r="L40" s="41"/>
      <c r="M40" s="55"/>
      <c r="N40" s="41"/>
    </row>
    <row r="41" spans="1:18" ht="21" customHeight="1" x14ac:dyDescent="0.3">
      <c r="A41" s="93" t="s">
        <v>126</v>
      </c>
      <c r="B41" s="684">
        <v>530900</v>
      </c>
      <c r="C41" s="35">
        <f t="shared" si="41"/>
        <v>265200</v>
      </c>
      <c r="D41" s="35">
        <v>265200</v>
      </c>
      <c r="E41" s="405">
        <f>SUM('GF 300'!D268)</f>
        <v>10015</v>
      </c>
      <c r="F41" s="35">
        <f t="shared" si="42"/>
        <v>255185</v>
      </c>
      <c r="G41" s="146">
        <v>0</v>
      </c>
      <c r="H41" s="1002">
        <v>0</v>
      </c>
      <c r="I41" s="35">
        <f t="shared" si="43"/>
        <v>0</v>
      </c>
      <c r="J41" s="405">
        <f t="shared" ref="J41:J45" si="44">SUM(E41+H41)</f>
        <v>10015</v>
      </c>
      <c r="K41" s="41"/>
      <c r="L41" s="41"/>
      <c r="M41" s="55"/>
      <c r="N41" s="41"/>
    </row>
    <row r="42" spans="1:18" ht="21" customHeight="1" x14ac:dyDescent="0.3">
      <c r="A42" s="123" t="s">
        <v>127</v>
      </c>
      <c r="B42" s="684">
        <v>591800</v>
      </c>
      <c r="C42" s="35">
        <f t="shared" si="41"/>
        <v>290000</v>
      </c>
      <c r="D42" s="35">
        <v>242000</v>
      </c>
      <c r="E42" s="405">
        <f>SUM('GF 300'!E268)</f>
        <v>175080</v>
      </c>
      <c r="F42" s="35">
        <f t="shared" si="42"/>
        <v>66920</v>
      </c>
      <c r="G42" s="146">
        <v>48000</v>
      </c>
      <c r="H42" s="1002">
        <v>48000</v>
      </c>
      <c r="I42" s="35">
        <f t="shared" si="43"/>
        <v>0</v>
      </c>
      <c r="J42" s="405">
        <f t="shared" si="44"/>
        <v>223080</v>
      </c>
      <c r="K42" s="41"/>
      <c r="L42" s="41"/>
      <c r="M42" s="55"/>
      <c r="N42" s="41"/>
    </row>
    <row r="43" spans="1:18" ht="21" customHeight="1" x14ac:dyDescent="0.3">
      <c r="A43" s="123" t="s">
        <v>128</v>
      </c>
      <c r="B43" s="684">
        <v>969500</v>
      </c>
      <c r="C43" s="35">
        <f t="shared" si="41"/>
        <v>484700</v>
      </c>
      <c r="D43" s="35">
        <v>0</v>
      </c>
      <c r="E43" s="405">
        <v>0</v>
      </c>
      <c r="F43" s="35">
        <f t="shared" si="42"/>
        <v>0</v>
      </c>
      <c r="G43" s="146">
        <v>484700</v>
      </c>
      <c r="H43" s="1002">
        <v>484800</v>
      </c>
      <c r="I43" s="35">
        <f t="shared" si="43"/>
        <v>-100</v>
      </c>
      <c r="J43" s="405">
        <f t="shared" si="44"/>
        <v>484800</v>
      </c>
      <c r="K43" s="41"/>
      <c r="L43" s="41"/>
      <c r="M43" s="381"/>
      <c r="N43" s="41"/>
    </row>
    <row r="44" spans="1:18" ht="21" customHeight="1" x14ac:dyDescent="0.3">
      <c r="A44" s="123" t="s">
        <v>129</v>
      </c>
      <c r="B44" s="684">
        <v>897000</v>
      </c>
      <c r="C44" s="35">
        <f t="shared" si="41"/>
        <v>448500</v>
      </c>
      <c r="D44" s="35">
        <v>0</v>
      </c>
      <c r="E44" s="405">
        <v>0</v>
      </c>
      <c r="F44" s="35">
        <f t="shared" si="42"/>
        <v>0</v>
      </c>
      <c r="G44" s="146">
        <v>448500</v>
      </c>
      <c r="H44" s="1002">
        <v>448500</v>
      </c>
      <c r="I44" s="35">
        <f t="shared" si="43"/>
        <v>0</v>
      </c>
      <c r="J44" s="405">
        <f t="shared" si="44"/>
        <v>448500</v>
      </c>
      <c r="K44" s="41"/>
      <c r="L44" s="41"/>
      <c r="M44" s="55"/>
      <c r="N44" s="41"/>
    </row>
    <row r="45" spans="1:18" ht="21" customHeight="1" x14ac:dyDescent="0.3">
      <c r="A45" s="123" t="s">
        <v>130</v>
      </c>
      <c r="B45" s="684">
        <v>2440800</v>
      </c>
      <c r="C45" s="35">
        <f t="shared" si="41"/>
        <v>1220400</v>
      </c>
      <c r="D45" s="35">
        <v>1220400</v>
      </c>
      <c r="E45" s="405">
        <f>SUM('GF 300'!F268)</f>
        <v>559200</v>
      </c>
      <c r="F45" s="35">
        <f t="shared" si="42"/>
        <v>661200</v>
      </c>
      <c r="G45" s="146">
        <v>0</v>
      </c>
      <c r="H45" s="408">
        <v>0</v>
      </c>
      <c r="I45" s="35">
        <f t="shared" si="43"/>
        <v>0</v>
      </c>
      <c r="J45" s="405">
        <f t="shared" si="44"/>
        <v>559200</v>
      </c>
      <c r="K45" s="41"/>
      <c r="L45" s="41"/>
      <c r="M45" s="55"/>
      <c r="N45" s="41"/>
    </row>
    <row r="46" spans="1:18" ht="21" customHeight="1" x14ac:dyDescent="0.3">
      <c r="A46" s="411" t="s">
        <v>131</v>
      </c>
      <c r="B46" s="62">
        <f>SUM(B47+B50+B51+B55+B56+B57+B58+B59+B60+B61+B62+B63+B73+B74+B76+B75)</f>
        <v>20591300</v>
      </c>
      <c r="C46" s="62">
        <f>SUM(C47+C50+C51+C55+C56+C57+C58+C59+C60+C61+C62+C63+C73+C74+C76+C75)</f>
        <v>17729600</v>
      </c>
      <c r="D46" s="62">
        <f>SUM(D47+D50+D51+D55+D56+D57+D58+D59+D60+D61+D62+D63+D73+D74+D76+D75)</f>
        <v>16210900</v>
      </c>
      <c r="E46" s="404">
        <f>SUM(E47+E50+E51+E55+E56+E57+E58+E59+E60+E61+E62+E63+E73+E74+E76+E75)</f>
        <v>1360322.65</v>
      </c>
      <c r="F46" s="62">
        <f>SUM(F47+F50+F51+F55+F56+F57+F58+F59+F60+F61+F62+F63+F73+F74+F76+F75)</f>
        <v>14850577.349999998</v>
      </c>
      <c r="G46" s="62">
        <f>SUM(G47+G50+G51+G55+G56+G57+G58+G59+G60+G61++G62+G63+G73+G74+G76+G75)</f>
        <v>1518700</v>
      </c>
      <c r="H46" s="404">
        <f t="shared" ref="H46:J46" si="45">SUM(H47+H50+H51+H55+H56+H57+H58+H59+H60+H61+H62+H63+H73+H74+H76+H75)</f>
        <v>1522250</v>
      </c>
      <c r="I46" s="62">
        <f t="shared" si="45"/>
        <v>-3550</v>
      </c>
      <c r="J46" s="1001">
        <f t="shared" si="45"/>
        <v>2882572.6500000004</v>
      </c>
      <c r="K46" s="56"/>
      <c r="L46" s="56"/>
      <c r="M46" s="55">
        <f>18126608.45-20000</f>
        <v>18106608.449999999</v>
      </c>
      <c r="N46" s="400">
        <f>J46-M46</f>
        <v>-15224035.799999999</v>
      </c>
    </row>
    <row r="47" spans="1:18" ht="21" customHeight="1" x14ac:dyDescent="0.3">
      <c r="A47" s="403" t="s">
        <v>132</v>
      </c>
      <c r="B47" s="62">
        <f t="shared" ref="B47:C47" si="46">SUM(B48:B49)</f>
        <v>1553600</v>
      </c>
      <c r="C47" s="62">
        <f t="shared" si="46"/>
        <v>776800</v>
      </c>
      <c r="D47" s="62">
        <f>SUM(D48:D49)</f>
        <v>716800</v>
      </c>
      <c r="E47" s="404">
        <f t="shared" ref="E47:J47" si="47">SUM(E48:E49)</f>
        <v>155210.53</v>
      </c>
      <c r="F47" s="62">
        <f t="shared" ref="F47:G47" si="48">SUM(F48:F49)</f>
        <v>561589.47</v>
      </c>
      <c r="G47" s="62">
        <f t="shared" si="48"/>
        <v>60000</v>
      </c>
      <c r="H47" s="404">
        <f t="shared" si="47"/>
        <v>60000</v>
      </c>
      <c r="I47" s="62">
        <f>SUM(I48:I49)</f>
        <v>0</v>
      </c>
      <c r="J47" s="404">
        <f t="shared" si="47"/>
        <v>215210.53</v>
      </c>
      <c r="K47" s="41"/>
      <c r="L47" s="41"/>
      <c r="M47" s="412"/>
      <c r="N47" s="413"/>
    </row>
    <row r="48" spans="1:18" ht="21" customHeight="1" x14ac:dyDescent="0.3">
      <c r="A48" s="123" t="s">
        <v>133</v>
      </c>
      <c r="B48" s="956">
        <f>626800*2</f>
        <v>1253600</v>
      </c>
      <c r="C48" s="35">
        <f>SUM(D48+G48)</f>
        <v>626800</v>
      </c>
      <c r="D48" s="35">
        <v>566800</v>
      </c>
      <c r="E48" s="405">
        <f>SUM('GF 400'!B580)</f>
        <v>51061.2</v>
      </c>
      <c r="F48" s="35">
        <f>SUM(D48-E48)</f>
        <v>515738.8</v>
      </c>
      <c r="G48" s="146">
        <v>60000</v>
      </c>
      <c r="H48" s="405">
        <v>60000</v>
      </c>
      <c r="I48" s="35">
        <f>SUM(G48-H48)</f>
        <v>0</v>
      </c>
      <c r="J48" s="405">
        <f>SUM(E48+H48)</f>
        <v>111061.2</v>
      </c>
      <c r="K48" s="41"/>
      <c r="L48" s="41"/>
      <c r="M48" s="55"/>
      <c r="N48" s="41"/>
    </row>
    <row r="49" spans="1:14" ht="21" customHeight="1" x14ac:dyDescent="0.3">
      <c r="A49" s="123" t="s">
        <v>134</v>
      </c>
      <c r="B49" s="956">
        <v>300000</v>
      </c>
      <c r="C49" s="35">
        <f>SUM(D49+G49)</f>
        <v>150000</v>
      </c>
      <c r="D49" s="35">
        <v>150000</v>
      </c>
      <c r="E49" s="405">
        <f>SUM('GF 400'!C580)</f>
        <v>104149.33</v>
      </c>
      <c r="F49" s="35">
        <f>SUM(D49-E49)</f>
        <v>45850.67</v>
      </c>
      <c r="G49" s="146"/>
      <c r="H49" s="405"/>
      <c r="I49" s="35">
        <f>SUM(G49-H49)</f>
        <v>0</v>
      </c>
      <c r="J49" s="405">
        <f>SUM(E49+H49)</f>
        <v>104149.33</v>
      </c>
      <c r="K49" s="41"/>
      <c r="L49" s="41"/>
      <c r="M49" s="55"/>
      <c r="N49" s="41"/>
    </row>
    <row r="50" spans="1:14" ht="21" customHeight="1" x14ac:dyDescent="0.3">
      <c r="A50" s="123" t="s">
        <v>135</v>
      </c>
      <c r="B50" s="35">
        <v>328000</v>
      </c>
      <c r="C50" s="35">
        <f>SUM(D50+G50)</f>
        <v>328000</v>
      </c>
      <c r="D50" s="35">
        <v>328000</v>
      </c>
      <c r="E50" s="405">
        <f>SUM('GF 400'!D580+'GF 400'!E580+'GF 400'!F580+'GF 400'!G580+'GF 400'!H580)</f>
        <v>6100</v>
      </c>
      <c r="F50" s="35">
        <f>SUM(D50-E50)</f>
        <v>321900</v>
      </c>
      <c r="G50" s="146">
        <v>0</v>
      </c>
      <c r="H50" s="405">
        <v>0</v>
      </c>
      <c r="I50" s="35">
        <f>SUM(G50-H50)</f>
        <v>0</v>
      </c>
      <c r="J50" s="405">
        <f>SUM(E50+H50)</f>
        <v>6100</v>
      </c>
      <c r="K50" s="41"/>
      <c r="L50" s="41"/>
      <c r="M50" s="55"/>
      <c r="N50" s="41"/>
    </row>
    <row r="51" spans="1:14" ht="21" customHeight="1" x14ac:dyDescent="0.3">
      <c r="A51" s="403" t="s">
        <v>136</v>
      </c>
      <c r="B51" s="62">
        <f t="shared" ref="B51:D51" si="49">SUM(B52:B54)</f>
        <v>580000</v>
      </c>
      <c r="C51" s="62">
        <f t="shared" si="49"/>
        <v>295900</v>
      </c>
      <c r="D51" s="62">
        <f t="shared" si="49"/>
        <v>247900</v>
      </c>
      <c r="E51" s="404">
        <f t="shared" ref="E51:I51" si="50">SUM(E52:E54)</f>
        <v>385092.92000000004</v>
      </c>
      <c r="F51" s="62">
        <f t="shared" ref="F51:G51" si="51">SUM(F52:F54)</f>
        <v>-137192.92000000004</v>
      </c>
      <c r="G51" s="62">
        <f t="shared" si="51"/>
        <v>48000</v>
      </c>
      <c r="H51" s="404">
        <f t="shared" si="50"/>
        <v>48000</v>
      </c>
      <c r="I51" s="62">
        <f t="shared" si="50"/>
        <v>0</v>
      </c>
      <c r="J51" s="404">
        <f>SUM(J52:J54)</f>
        <v>433092.92000000004</v>
      </c>
      <c r="K51" s="41"/>
      <c r="L51" s="41"/>
      <c r="M51" s="55"/>
      <c r="N51" s="41"/>
    </row>
    <row r="52" spans="1:14" ht="21" customHeight="1" x14ac:dyDescent="0.3">
      <c r="A52" s="93" t="s">
        <v>137</v>
      </c>
      <c r="B52" s="956">
        <f>380000</f>
        <v>380000</v>
      </c>
      <c r="C52" s="35">
        <f t="shared" ref="C52:C62" si="52">SUM(D52+G52)</f>
        <v>295900</v>
      </c>
      <c r="D52" s="35">
        <v>247900</v>
      </c>
      <c r="E52" s="405">
        <f>+'GF 400'!I580</f>
        <v>49458</v>
      </c>
      <c r="F52" s="35">
        <f t="shared" ref="F52:F62" si="53">SUM(D52-E52)</f>
        <v>198442</v>
      </c>
      <c r="G52" s="146">
        <v>48000</v>
      </c>
      <c r="H52" s="405">
        <v>48000</v>
      </c>
      <c r="I52" s="35">
        <f>SUM(G52-H52)</f>
        <v>0</v>
      </c>
      <c r="J52" s="405">
        <f t="shared" ref="J52:J62" si="54">SUM(E52+H52)</f>
        <v>97458</v>
      </c>
      <c r="K52" s="41"/>
      <c r="L52" s="41"/>
      <c r="M52" s="55"/>
      <c r="N52" s="41"/>
    </row>
    <row r="53" spans="1:14" ht="21" customHeight="1" x14ac:dyDescent="0.3">
      <c r="A53" s="123" t="s">
        <v>138</v>
      </c>
      <c r="B53" s="956">
        <f>216700-46700</f>
        <v>170000</v>
      </c>
      <c r="C53" s="35">
        <f t="shared" si="52"/>
        <v>0</v>
      </c>
      <c r="D53" s="35"/>
      <c r="E53" s="405">
        <f>+'GF 400'!J580</f>
        <v>320434.92000000004</v>
      </c>
      <c r="F53" s="35">
        <f t="shared" si="53"/>
        <v>-320434.92000000004</v>
      </c>
      <c r="G53" s="146"/>
      <c r="H53" s="404"/>
      <c r="I53" s="62"/>
      <c r="J53" s="405">
        <f>SUM(E53+H53)</f>
        <v>320434.92000000004</v>
      </c>
      <c r="K53" s="41"/>
      <c r="L53" s="41"/>
      <c r="M53" s="55"/>
      <c r="N53" s="41"/>
    </row>
    <row r="54" spans="1:14" ht="21" customHeight="1" x14ac:dyDescent="0.3">
      <c r="A54" s="93" t="s">
        <v>139</v>
      </c>
      <c r="B54" s="956">
        <v>30000</v>
      </c>
      <c r="C54" s="35">
        <f t="shared" si="52"/>
        <v>0</v>
      </c>
      <c r="D54" s="35"/>
      <c r="E54" s="405">
        <f>+'GF 400'!K580</f>
        <v>15200</v>
      </c>
      <c r="F54" s="35">
        <f t="shared" si="53"/>
        <v>-15200</v>
      </c>
      <c r="G54" s="146"/>
      <c r="H54" s="404"/>
      <c r="I54" s="62"/>
      <c r="J54" s="405">
        <f t="shared" si="54"/>
        <v>15200</v>
      </c>
      <c r="K54" s="41"/>
      <c r="L54" s="41"/>
      <c r="M54" s="55"/>
      <c r="N54" s="41"/>
    </row>
    <row r="55" spans="1:14" ht="21" customHeight="1" x14ac:dyDescent="0.3">
      <c r="A55" s="123" t="s">
        <v>140</v>
      </c>
      <c r="B55" s="35">
        <v>510000</v>
      </c>
      <c r="C55" s="35">
        <f t="shared" si="52"/>
        <v>255000</v>
      </c>
      <c r="D55" s="35">
        <v>0</v>
      </c>
      <c r="E55" s="405">
        <v>0</v>
      </c>
      <c r="F55" s="35">
        <f t="shared" si="53"/>
        <v>0</v>
      </c>
      <c r="G55" s="146">
        <v>255000</v>
      </c>
      <c r="H55" s="405">
        <v>255000</v>
      </c>
      <c r="I55" s="35">
        <f t="shared" ref="I55:I62" si="55">SUM(G55-H55)</f>
        <v>0</v>
      </c>
      <c r="J55" s="405">
        <f t="shared" si="54"/>
        <v>255000</v>
      </c>
      <c r="K55" s="41"/>
      <c r="L55" s="41"/>
      <c r="M55" s="55"/>
      <c r="N55" s="41"/>
    </row>
    <row r="56" spans="1:14" ht="21" customHeight="1" x14ac:dyDescent="0.3">
      <c r="A56" s="123" t="s">
        <v>360</v>
      </c>
      <c r="B56" s="35">
        <v>600000</v>
      </c>
      <c r="C56" s="35">
        <f t="shared" si="52"/>
        <v>300000</v>
      </c>
      <c r="D56" s="35">
        <v>250000</v>
      </c>
      <c r="E56" s="405">
        <f>SUM('GF 400'!L580)</f>
        <v>66867</v>
      </c>
      <c r="F56" s="35">
        <f t="shared" si="53"/>
        <v>183133</v>
      </c>
      <c r="G56" s="146">
        <v>50000</v>
      </c>
      <c r="H56" s="1002">
        <v>53550</v>
      </c>
      <c r="I56" s="35">
        <f t="shared" si="55"/>
        <v>-3550</v>
      </c>
      <c r="J56" s="405">
        <f t="shared" si="54"/>
        <v>120417</v>
      </c>
    </row>
    <row r="57" spans="1:14" ht="21" customHeight="1" x14ac:dyDescent="0.3">
      <c r="A57" s="123" t="s">
        <v>142</v>
      </c>
      <c r="B57" s="35">
        <f>500000</f>
        <v>500000</v>
      </c>
      <c r="C57" s="35">
        <f t="shared" si="52"/>
        <v>250000</v>
      </c>
      <c r="D57" s="35">
        <v>140000</v>
      </c>
      <c r="E57" s="405">
        <f>SUM('GF 400'!M580)</f>
        <v>41505</v>
      </c>
      <c r="F57" s="35">
        <f t="shared" si="53"/>
        <v>98495</v>
      </c>
      <c r="G57" s="146">
        <v>110000</v>
      </c>
      <c r="H57" s="405">
        <v>110000</v>
      </c>
      <c r="I57" s="35">
        <f t="shared" si="55"/>
        <v>0</v>
      </c>
      <c r="J57" s="405">
        <f t="shared" si="54"/>
        <v>151505</v>
      </c>
    </row>
    <row r="58" spans="1:14" ht="21" customHeight="1" x14ac:dyDescent="0.3">
      <c r="A58" s="123" t="s">
        <v>143</v>
      </c>
      <c r="B58" s="35">
        <v>230400</v>
      </c>
      <c r="C58" s="35">
        <f t="shared" si="52"/>
        <v>115200</v>
      </c>
      <c r="D58" s="35">
        <v>0</v>
      </c>
      <c r="E58" s="405">
        <v>0</v>
      </c>
      <c r="F58" s="35">
        <f t="shared" si="53"/>
        <v>0</v>
      </c>
      <c r="G58" s="146">
        <v>115200</v>
      </c>
      <c r="H58" s="405">
        <v>115200</v>
      </c>
      <c r="I58" s="35">
        <f t="shared" si="55"/>
        <v>0</v>
      </c>
      <c r="J58" s="405">
        <f t="shared" si="54"/>
        <v>115200</v>
      </c>
    </row>
    <row r="59" spans="1:14" ht="21" customHeight="1" x14ac:dyDescent="0.3">
      <c r="A59" s="123" t="s">
        <v>144</v>
      </c>
      <c r="B59" s="35">
        <v>372600</v>
      </c>
      <c r="C59" s="35">
        <f t="shared" si="52"/>
        <v>186300</v>
      </c>
      <c r="D59" s="35">
        <v>0</v>
      </c>
      <c r="E59" s="405">
        <v>0</v>
      </c>
      <c r="F59" s="35">
        <f t="shared" si="53"/>
        <v>0</v>
      </c>
      <c r="G59" s="146">
        <v>186300</v>
      </c>
      <c r="H59" s="405">
        <v>186300</v>
      </c>
      <c r="I59" s="35">
        <f t="shared" si="55"/>
        <v>0</v>
      </c>
      <c r="J59" s="405">
        <f t="shared" si="54"/>
        <v>186300</v>
      </c>
    </row>
    <row r="60" spans="1:14" ht="21" customHeight="1" x14ac:dyDescent="0.3">
      <c r="A60" s="123" t="s">
        <v>361</v>
      </c>
      <c r="B60" s="35">
        <v>634000</v>
      </c>
      <c r="C60" s="35">
        <f t="shared" si="52"/>
        <v>317000</v>
      </c>
      <c r="D60" s="35">
        <v>0</v>
      </c>
      <c r="E60" s="405">
        <v>0</v>
      </c>
      <c r="F60" s="35">
        <f t="shared" si="53"/>
        <v>0</v>
      </c>
      <c r="G60" s="146">
        <v>317000</v>
      </c>
      <c r="H60" s="405">
        <v>317000</v>
      </c>
      <c r="I60" s="35">
        <f t="shared" si="55"/>
        <v>0</v>
      </c>
      <c r="J60" s="405">
        <f t="shared" si="54"/>
        <v>317000</v>
      </c>
    </row>
    <row r="61" spans="1:14" ht="21" customHeight="1" x14ac:dyDescent="0.3">
      <c r="A61" s="691" t="s">
        <v>146</v>
      </c>
      <c r="B61" s="684">
        <v>530100</v>
      </c>
      <c r="C61" s="684">
        <f t="shared" si="52"/>
        <v>265000</v>
      </c>
      <c r="D61" s="684">
        <v>0</v>
      </c>
      <c r="E61" s="685">
        <v>0</v>
      </c>
      <c r="F61" s="684">
        <f t="shared" si="53"/>
        <v>0</v>
      </c>
      <c r="G61" s="686">
        <v>265000</v>
      </c>
      <c r="H61" s="685">
        <v>265000</v>
      </c>
      <c r="I61" s="684">
        <f t="shared" si="55"/>
        <v>0</v>
      </c>
      <c r="J61" s="685">
        <f t="shared" si="54"/>
        <v>265000</v>
      </c>
    </row>
    <row r="62" spans="1:14" ht="21" customHeight="1" x14ac:dyDescent="0.3">
      <c r="A62" s="700" t="s">
        <v>1259</v>
      </c>
      <c r="B62" s="688">
        <v>224400</v>
      </c>
      <c r="C62" s="688">
        <f t="shared" si="52"/>
        <v>112200</v>
      </c>
      <c r="D62" s="688">
        <v>0</v>
      </c>
      <c r="E62" s="689">
        <v>0</v>
      </c>
      <c r="F62" s="688">
        <f t="shared" si="53"/>
        <v>0</v>
      </c>
      <c r="G62" s="690">
        <v>112200</v>
      </c>
      <c r="H62" s="689">
        <v>112200</v>
      </c>
      <c r="I62" s="688">
        <f t="shared" si="55"/>
        <v>0</v>
      </c>
      <c r="J62" s="689">
        <f t="shared" si="54"/>
        <v>112200</v>
      </c>
    </row>
    <row r="63" spans="1:14" ht="21" customHeight="1" x14ac:dyDescent="0.3">
      <c r="A63" s="988" t="s">
        <v>1260</v>
      </c>
      <c r="B63" s="989">
        <f t="shared" ref="B63:D63" si="56">SUM(B64:B72)</f>
        <v>4000000</v>
      </c>
      <c r="C63" s="989">
        <f t="shared" si="56"/>
        <v>4000000</v>
      </c>
      <c r="D63" s="989">
        <f t="shared" si="56"/>
        <v>4000000</v>
      </c>
      <c r="E63" s="1003">
        <f>SUM(E64:E72)</f>
        <v>573886.49</v>
      </c>
      <c r="F63" s="989">
        <f>SUM(F64:F72)</f>
        <v>3426113.51</v>
      </c>
      <c r="G63" s="989">
        <f>SUM(G64:G72)</f>
        <v>0</v>
      </c>
      <c r="H63" s="1003">
        <f t="shared" ref="H63:I63" si="57">SUM(H64:H72)</f>
        <v>0</v>
      </c>
      <c r="I63" s="989">
        <f t="shared" si="57"/>
        <v>0</v>
      </c>
      <c r="J63" s="1003">
        <f>SUM(J64:J72)</f>
        <v>573886.49</v>
      </c>
    </row>
    <row r="64" spans="1:14" ht="21" customHeight="1" x14ac:dyDescent="0.3">
      <c r="A64" s="123" t="s">
        <v>147</v>
      </c>
      <c r="B64" s="684">
        <v>214000</v>
      </c>
      <c r="C64" s="684">
        <v>214000</v>
      </c>
      <c r="D64" s="684">
        <v>214000</v>
      </c>
      <c r="E64" s="405">
        <f>SUM('GF 400'!Q580)</f>
        <v>53499</v>
      </c>
      <c r="F64" s="35">
        <f t="shared" ref="F64:F76" si="58">SUM(D64-E64)</f>
        <v>160501</v>
      </c>
      <c r="G64" s="146">
        <v>0</v>
      </c>
      <c r="H64" s="405">
        <v>0</v>
      </c>
      <c r="I64" s="35"/>
      <c r="J64" s="1004">
        <f t="shared" ref="J64:J76" si="59">SUM(E64+H64)</f>
        <v>53499</v>
      </c>
    </row>
    <row r="65" spans="1:14" ht="21" customHeight="1" x14ac:dyDescent="0.3">
      <c r="A65" s="123" t="s">
        <v>148</v>
      </c>
      <c r="B65" s="684">
        <v>388945</v>
      </c>
      <c r="C65" s="684">
        <v>388945</v>
      </c>
      <c r="D65" s="684">
        <v>388945</v>
      </c>
      <c r="E65" s="405">
        <f>SUM('GF 400'!R580)</f>
        <v>27285</v>
      </c>
      <c r="F65" s="35">
        <f t="shared" si="58"/>
        <v>361660</v>
      </c>
      <c r="G65" s="146">
        <v>0</v>
      </c>
      <c r="H65" s="405">
        <v>0</v>
      </c>
      <c r="I65" s="35"/>
      <c r="J65" s="1004">
        <f t="shared" si="59"/>
        <v>27285</v>
      </c>
    </row>
    <row r="66" spans="1:14" ht="21" customHeight="1" x14ac:dyDescent="0.3">
      <c r="A66" s="123" t="s">
        <v>149</v>
      </c>
      <c r="B66" s="684">
        <v>74900</v>
      </c>
      <c r="C66" s="684">
        <v>74900</v>
      </c>
      <c r="D66" s="684">
        <v>74900</v>
      </c>
      <c r="E66" s="405">
        <f>SUM('GF 400'!S580)</f>
        <v>0</v>
      </c>
      <c r="F66" s="35">
        <f t="shared" si="58"/>
        <v>74900</v>
      </c>
      <c r="G66" s="146">
        <v>0</v>
      </c>
      <c r="H66" s="405">
        <v>0</v>
      </c>
      <c r="I66" s="35"/>
      <c r="J66" s="1004">
        <f t="shared" si="59"/>
        <v>0</v>
      </c>
    </row>
    <row r="67" spans="1:14" ht="21" customHeight="1" x14ac:dyDescent="0.3">
      <c r="A67" s="123" t="s">
        <v>150</v>
      </c>
      <c r="B67" s="684">
        <v>1193659</v>
      </c>
      <c r="C67" s="684">
        <v>1193659</v>
      </c>
      <c r="D67" s="684">
        <v>1193659</v>
      </c>
      <c r="E67" s="405">
        <f>SUM('GF 400'!T580)</f>
        <v>39162</v>
      </c>
      <c r="F67" s="35">
        <f t="shared" si="58"/>
        <v>1154497</v>
      </c>
      <c r="G67" s="146">
        <v>0</v>
      </c>
      <c r="H67" s="405">
        <v>0</v>
      </c>
      <c r="I67" s="35"/>
      <c r="J67" s="1004">
        <f t="shared" si="59"/>
        <v>39162</v>
      </c>
    </row>
    <row r="68" spans="1:14" ht="21" customHeight="1" x14ac:dyDescent="0.3">
      <c r="A68" s="123" t="s">
        <v>151</v>
      </c>
      <c r="B68" s="684">
        <v>1504800</v>
      </c>
      <c r="C68" s="684">
        <v>1504800</v>
      </c>
      <c r="D68" s="684">
        <v>1504800</v>
      </c>
      <c r="E68" s="405">
        <f>SUM('GF 400'!U580)</f>
        <v>270000</v>
      </c>
      <c r="F68" s="35">
        <f t="shared" si="58"/>
        <v>1234800</v>
      </c>
      <c r="G68" s="146">
        <v>0</v>
      </c>
      <c r="H68" s="405">
        <v>0</v>
      </c>
      <c r="I68" s="35"/>
      <c r="J68" s="1004">
        <f t="shared" si="59"/>
        <v>270000</v>
      </c>
    </row>
    <row r="69" spans="1:14" ht="21" customHeight="1" x14ac:dyDescent="0.3">
      <c r="A69" s="123" t="s">
        <v>152</v>
      </c>
      <c r="B69" s="684">
        <v>189600</v>
      </c>
      <c r="C69" s="684">
        <v>189600</v>
      </c>
      <c r="D69" s="684">
        <v>189600</v>
      </c>
      <c r="E69" s="405">
        <f>SUM('GF 400'!V580)</f>
        <v>0</v>
      </c>
      <c r="F69" s="35">
        <f t="shared" si="58"/>
        <v>189600</v>
      </c>
      <c r="G69" s="146">
        <v>0</v>
      </c>
      <c r="H69" s="405">
        <v>0</v>
      </c>
      <c r="I69" s="35"/>
      <c r="J69" s="1004">
        <f t="shared" si="59"/>
        <v>0</v>
      </c>
      <c r="K69" s="41"/>
      <c r="L69" s="41"/>
      <c r="M69" s="55"/>
      <c r="N69" s="41"/>
    </row>
    <row r="70" spans="1:14" s="997" customFormat="1" ht="21" customHeight="1" x14ac:dyDescent="0.3">
      <c r="A70" s="123" t="s">
        <v>153</v>
      </c>
      <c r="B70" s="684">
        <v>99296</v>
      </c>
      <c r="C70" s="684">
        <v>99296</v>
      </c>
      <c r="D70" s="684">
        <v>99296</v>
      </c>
      <c r="E70" s="405">
        <f>SUM('GF 400'!W580)</f>
        <v>24824</v>
      </c>
      <c r="F70" s="35">
        <f t="shared" ref="F70" si="60">SUM(D70-E70)</f>
        <v>74472</v>
      </c>
      <c r="G70" s="146">
        <v>0</v>
      </c>
      <c r="H70" s="405">
        <v>0</v>
      </c>
      <c r="I70" s="35"/>
      <c r="J70" s="1004">
        <f t="shared" ref="J70" si="61">SUM(E70+H70)</f>
        <v>24824</v>
      </c>
      <c r="K70" s="41"/>
      <c r="L70" s="41"/>
      <c r="M70" s="55"/>
      <c r="N70" s="41"/>
    </row>
    <row r="71" spans="1:14" ht="21" customHeight="1" x14ac:dyDescent="0.3">
      <c r="A71" s="123" t="s">
        <v>1754</v>
      </c>
      <c r="B71" s="684">
        <v>174800</v>
      </c>
      <c r="C71" s="684">
        <v>174800</v>
      </c>
      <c r="D71" s="684">
        <v>174800</v>
      </c>
      <c r="E71" s="405">
        <f>'GF 400'!AB580</f>
        <v>83280.240000000005</v>
      </c>
      <c r="F71" s="35">
        <f t="shared" si="58"/>
        <v>91519.76</v>
      </c>
      <c r="G71" s="146">
        <v>0</v>
      </c>
      <c r="H71" s="405">
        <v>0</v>
      </c>
      <c r="I71" s="35"/>
      <c r="J71" s="1004">
        <f t="shared" si="59"/>
        <v>83280.240000000005</v>
      </c>
      <c r="K71" s="41"/>
      <c r="L71" s="41"/>
      <c r="M71" s="55"/>
      <c r="N71" s="41"/>
    </row>
    <row r="72" spans="1:14" ht="21" customHeight="1" x14ac:dyDescent="0.3">
      <c r="A72" s="123" t="s">
        <v>154</v>
      </c>
      <c r="B72" s="684">
        <f>160000</f>
        <v>160000</v>
      </c>
      <c r="C72" s="684">
        <f>160000</f>
        <v>160000</v>
      </c>
      <c r="D72" s="684">
        <f>160000</f>
        <v>160000</v>
      </c>
      <c r="E72" s="405">
        <f>SUM('GF 400'!X580)</f>
        <v>75836.25</v>
      </c>
      <c r="F72" s="35">
        <f t="shared" si="58"/>
        <v>84163.75</v>
      </c>
      <c r="G72" s="146">
        <v>0</v>
      </c>
      <c r="H72" s="405">
        <v>0</v>
      </c>
      <c r="I72" s="35"/>
      <c r="J72" s="1004">
        <f t="shared" si="59"/>
        <v>75836.25</v>
      </c>
      <c r="K72" s="41"/>
      <c r="L72" s="41"/>
      <c r="M72" s="55"/>
      <c r="N72" s="41"/>
    </row>
    <row r="73" spans="1:14" ht="21" customHeight="1" x14ac:dyDescent="0.3">
      <c r="A73" s="123" t="s">
        <v>1261</v>
      </c>
      <c r="B73" s="35">
        <v>8500000</v>
      </c>
      <c r="C73" s="35">
        <f t="shared" ref="C73:C74" si="62">SUM(D73+G73)</f>
        <v>8500000</v>
      </c>
      <c r="D73" s="35">
        <v>8500000</v>
      </c>
      <c r="E73" s="405">
        <f>SUM('GF 400'!Y580)</f>
        <v>0</v>
      </c>
      <c r="F73" s="35">
        <f t="shared" si="58"/>
        <v>8500000</v>
      </c>
      <c r="G73" s="146">
        <v>0</v>
      </c>
      <c r="H73" s="405">
        <v>0</v>
      </c>
      <c r="I73" s="35"/>
      <c r="J73" s="1004">
        <f t="shared" si="59"/>
        <v>0</v>
      </c>
      <c r="K73" s="41"/>
      <c r="L73" s="41"/>
      <c r="M73" s="55"/>
      <c r="N73" s="41"/>
    </row>
    <row r="74" spans="1:14" ht="21" customHeight="1" x14ac:dyDescent="0.3">
      <c r="A74" s="123" t="s">
        <v>1262</v>
      </c>
      <c r="B74" s="35">
        <v>198000</v>
      </c>
      <c r="C74" s="35">
        <f t="shared" si="62"/>
        <v>198000</v>
      </c>
      <c r="D74" s="35">
        <v>198000</v>
      </c>
      <c r="E74" s="405">
        <f>'GF 400'!AC580</f>
        <v>131660.71</v>
      </c>
      <c r="F74" s="35">
        <f t="shared" si="58"/>
        <v>66339.290000000008</v>
      </c>
      <c r="G74" s="146">
        <v>0</v>
      </c>
      <c r="H74" s="405">
        <v>0</v>
      </c>
      <c r="I74" s="35"/>
      <c r="J74" s="405">
        <f t="shared" si="59"/>
        <v>131660.71</v>
      </c>
      <c r="K74" s="41"/>
      <c r="L74" s="41"/>
      <c r="M74" s="55"/>
      <c r="N74" s="41"/>
    </row>
    <row r="75" spans="1:14" s="983" customFormat="1" ht="41.25" customHeight="1" x14ac:dyDescent="0.3">
      <c r="A75" s="683" t="s">
        <v>1263</v>
      </c>
      <c r="B75" s="35">
        <v>716400</v>
      </c>
      <c r="C75" s="35">
        <f>SUM(D75+G75)</f>
        <v>716400</v>
      </c>
      <c r="D75" s="35">
        <v>716400</v>
      </c>
      <c r="E75" s="405">
        <f>'GF 400'!AA580</f>
        <v>0</v>
      </c>
      <c r="F75" s="35">
        <f t="shared" si="58"/>
        <v>716400</v>
      </c>
      <c r="G75" s="146">
        <v>0</v>
      </c>
      <c r="H75" s="405">
        <v>0</v>
      </c>
      <c r="I75" s="684">
        <v>0</v>
      </c>
      <c r="J75" s="405">
        <f>SUM(E75+H75)</f>
        <v>0</v>
      </c>
      <c r="K75" s="41"/>
    </row>
    <row r="76" spans="1:14" s="983" customFormat="1" ht="21" customHeight="1" x14ac:dyDescent="0.3">
      <c r="A76" s="123" t="s">
        <v>1264</v>
      </c>
      <c r="B76" s="35">
        <v>1113800</v>
      </c>
      <c r="C76" s="35">
        <f>SUM(D76+G76)</f>
        <v>1113800</v>
      </c>
      <c r="D76" s="35">
        <v>1113800</v>
      </c>
      <c r="E76" s="405">
        <f>'GF 400'!Z580</f>
        <v>0</v>
      </c>
      <c r="F76" s="35">
        <f t="shared" si="58"/>
        <v>1113800</v>
      </c>
      <c r="G76" s="146">
        <v>0</v>
      </c>
      <c r="H76" s="405">
        <v>0</v>
      </c>
      <c r="I76" s="35">
        <f>SUM(G76-H76)</f>
        <v>0</v>
      </c>
      <c r="J76" s="405">
        <f t="shared" si="59"/>
        <v>0</v>
      </c>
      <c r="K76" s="41"/>
    </row>
    <row r="77" spans="1:14" ht="21" customHeight="1" x14ac:dyDescent="0.3">
      <c r="A77" s="411" t="s">
        <v>155</v>
      </c>
      <c r="B77" s="62">
        <f t="shared" ref="B77:D77" si="63">SUM(B78:B85)</f>
        <v>5029000</v>
      </c>
      <c r="C77" s="62">
        <f t="shared" si="63"/>
        <v>4464500</v>
      </c>
      <c r="D77" s="62">
        <f t="shared" si="63"/>
        <v>4007500</v>
      </c>
      <c r="E77" s="404">
        <f t="shared" ref="E77:I77" si="64">SUM(E78:E85)</f>
        <v>368338.69</v>
      </c>
      <c r="F77" s="62">
        <f t="shared" ref="F77:G77" si="65">SUM(F78:F85)</f>
        <v>3639161.31</v>
      </c>
      <c r="G77" s="62">
        <f t="shared" si="65"/>
        <v>457000</v>
      </c>
      <c r="H77" s="1001">
        <f>SUM(H78:H85)</f>
        <v>384599.5</v>
      </c>
      <c r="I77" s="62">
        <f t="shared" si="64"/>
        <v>72400.5</v>
      </c>
      <c r="J77" s="404">
        <f>SUM(J78:J85)</f>
        <v>752938.19</v>
      </c>
      <c r="K77" s="56"/>
      <c r="L77" s="56"/>
      <c r="M77" s="55">
        <v>4096456.66</v>
      </c>
      <c r="N77" s="400">
        <f>J77-M77</f>
        <v>-3343518.47</v>
      </c>
    </row>
    <row r="78" spans="1:14" ht="21" customHeight="1" x14ac:dyDescent="0.3">
      <c r="A78" s="123" t="s">
        <v>1450</v>
      </c>
      <c r="B78" s="35">
        <v>1800000</v>
      </c>
      <c r="C78" s="35">
        <f t="shared" ref="C78:C85" si="66">SUM(D78+G78)</f>
        <v>1800000</v>
      </c>
      <c r="D78" s="35">
        <v>1700000</v>
      </c>
      <c r="E78" s="405">
        <f>SUM('GF 500'!B280)</f>
        <v>245616.69</v>
      </c>
      <c r="F78" s="35">
        <f t="shared" ref="F78:F85" si="67">SUM(D78-E78)</f>
        <v>1454383.31</v>
      </c>
      <c r="G78" s="146">
        <v>100000</v>
      </c>
      <c r="H78" s="1002">
        <v>50000</v>
      </c>
      <c r="I78" s="35">
        <f t="shared" ref="I78:I85" si="68">SUM(G78-H78)</f>
        <v>50000</v>
      </c>
      <c r="J78" s="405">
        <f>SUM(E78+H78)</f>
        <v>295616.69</v>
      </c>
      <c r="K78" s="41"/>
      <c r="L78" s="41"/>
      <c r="M78" s="415"/>
      <c r="N78" s="416"/>
    </row>
    <row r="79" spans="1:14" ht="21" customHeight="1" x14ac:dyDescent="0.3">
      <c r="A79" s="123" t="s">
        <v>1451</v>
      </c>
      <c r="B79" s="35">
        <f>370000+100000</f>
        <v>470000</v>
      </c>
      <c r="C79" s="35">
        <f t="shared" si="66"/>
        <v>235000</v>
      </c>
      <c r="D79" s="35">
        <v>150000</v>
      </c>
      <c r="E79" s="405">
        <f>SUM('GF 500'!C280)</f>
        <v>54801.5</v>
      </c>
      <c r="F79" s="35">
        <f t="shared" si="67"/>
        <v>95198.5</v>
      </c>
      <c r="G79" s="146">
        <v>85000</v>
      </c>
      <c r="H79" s="1002">
        <v>85000</v>
      </c>
      <c r="I79" s="35">
        <f t="shared" si="68"/>
        <v>0</v>
      </c>
      <c r="J79" s="405">
        <f>SUM(E79+H79)</f>
        <v>139801.5</v>
      </c>
      <c r="K79" s="41"/>
      <c r="L79" s="41"/>
      <c r="M79" s="55"/>
      <c r="N79" s="41"/>
    </row>
    <row r="80" spans="1:14" ht="21" customHeight="1" x14ac:dyDescent="0.3">
      <c r="A80" s="123" t="s">
        <v>1452</v>
      </c>
      <c r="B80" s="35">
        <v>150000</v>
      </c>
      <c r="C80" s="35">
        <f t="shared" si="66"/>
        <v>75000</v>
      </c>
      <c r="D80" s="35">
        <v>0</v>
      </c>
      <c r="E80" s="405">
        <v>0</v>
      </c>
      <c r="F80" s="35">
        <f t="shared" si="67"/>
        <v>0</v>
      </c>
      <c r="G80" s="146">
        <v>75000</v>
      </c>
      <c r="H80" s="1002">
        <v>75000</v>
      </c>
      <c r="I80" s="35">
        <f t="shared" si="68"/>
        <v>0</v>
      </c>
      <c r="J80" s="405">
        <f t="shared" ref="J80:J84" si="69">SUM(E80+H80)</f>
        <v>75000</v>
      </c>
      <c r="K80" s="41"/>
      <c r="L80" s="41"/>
      <c r="M80" s="55"/>
      <c r="N80" s="41"/>
    </row>
    <row r="81" spans="1:14" ht="21" customHeight="1" x14ac:dyDescent="0.3">
      <c r="A81" s="123" t="s">
        <v>1453</v>
      </c>
      <c r="B81" s="35">
        <v>154000</v>
      </c>
      <c r="C81" s="35">
        <f t="shared" si="66"/>
        <v>77000</v>
      </c>
      <c r="D81" s="35">
        <v>0</v>
      </c>
      <c r="E81" s="405">
        <f>SUM('GF 500'!D280)</f>
        <v>0</v>
      </c>
      <c r="F81" s="35">
        <f t="shared" si="67"/>
        <v>0</v>
      </c>
      <c r="G81" s="146">
        <v>77000</v>
      </c>
      <c r="H81" s="1002">
        <v>77000</v>
      </c>
      <c r="I81" s="35">
        <f t="shared" si="68"/>
        <v>0</v>
      </c>
      <c r="J81" s="405">
        <f t="shared" si="69"/>
        <v>77000</v>
      </c>
      <c r="K81" s="41"/>
      <c r="L81" s="41"/>
      <c r="M81" s="55"/>
      <c r="N81" s="41"/>
    </row>
    <row r="82" spans="1:14" ht="21" customHeight="1" x14ac:dyDescent="0.3">
      <c r="A82" s="123" t="s">
        <v>1454</v>
      </c>
      <c r="B82" s="35">
        <v>30000</v>
      </c>
      <c r="C82" s="35">
        <f t="shared" si="66"/>
        <v>15000</v>
      </c>
      <c r="D82" s="35">
        <v>0</v>
      </c>
      <c r="E82" s="405">
        <f>SUM('GF 500'!E280)</f>
        <v>0</v>
      </c>
      <c r="F82" s="35">
        <f t="shared" si="67"/>
        <v>0</v>
      </c>
      <c r="G82" s="146">
        <v>15000</v>
      </c>
      <c r="H82" s="1002">
        <v>15000</v>
      </c>
      <c r="I82" s="35">
        <f t="shared" si="68"/>
        <v>0</v>
      </c>
      <c r="J82" s="405">
        <f t="shared" si="69"/>
        <v>15000</v>
      </c>
      <c r="K82" s="41"/>
      <c r="L82" s="41"/>
      <c r="M82" s="55"/>
      <c r="N82" s="41"/>
    </row>
    <row r="83" spans="1:14" ht="21" customHeight="1" x14ac:dyDescent="0.3">
      <c r="A83" s="123" t="s">
        <v>1455</v>
      </c>
      <c r="B83" s="35">
        <f>1500000+600000</f>
        <v>2100000</v>
      </c>
      <c r="C83" s="35">
        <f t="shared" si="66"/>
        <v>2100000</v>
      </c>
      <c r="D83" s="35">
        <v>2055000</v>
      </c>
      <c r="E83" s="405">
        <f>SUM('GF 500'!F280)</f>
        <v>65430.5</v>
      </c>
      <c r="F83" s="35">
        <f t="shared" si="67"/>
        <v>1989569.5</v>
      </c>
      <c r="G83" s="146">
        <v>45000</v>
      </c>
      <c r="H83" s="1002">
        <v>22500</v>
      </c>
      <c r="I83" s="35">
        <f t="shared" si="68"/>
        <v>22500</v>
      </c>
      <c r="J83" s="405">
        <f t="shared" si="69"/>
        <v>87930.5</v>
      </c>
      <c r="K83" s="41"/>
      <c r="L83" s="41"/>
      <c r="M83" s="55"/>
      <c r="N83" s="41"/>
    </row>
    <row r="84" spans="1:14" ht="21" customHeight="1" x14ac:dyDescent="0.3">
      <c r="A84" s="123" t="s">
        <v>1456</v>
      </c>
      <c r="B84" s="35">
        <f>106700+18300</f>
        <v>125000</v>
      </c>
      <c r="C84" s="35">
        <f t="shared" si="66"/>
        <v>62500</v>
      </c>
      <c r="D84" s="35">
        <v>32500</v>
      </c>
      <c r="E84" s="405">
        <f>SUM('GF 500'!G280)</f>
        <v>0</v>
      </c>
      <c r="F84" s="35">
        <f t="shared" si="67"/>
        <v>32500</v>
      </c>
      <c r="G84" s="146">
        <v>30000</v>
      </c>
      <c r="H84" s="1002">
        <v>30000</v>
      </c>
      <c r="I84" s="35">
        <f t="shared" si="68"/>
        <v>0</v>
      </c>
      <c r="J84" s="405">
        <f t="shared" si="69"/>
        <v>30000</v>
      </c>
      <c r="K84" s="41"/>
      <c r="L84" s="41"/>
      <c r="M84" s="55"/>
      <c r="N84" s="41"/>
    </row>
    <row r="85" spans="1:14" ht="21" customHeight="1" x14ac:dyDescent="0.3">
      <c r="A85" s="123" t="s">
        <v>1457</v>
      </c>
      <c r="B85" s="35">
        <f>216700-16700</f>
        <v>200000</v>
      </c>
      <c r="C85" s="35">
        <f t="shared" si="66"/>
        <v>100000</v>
      </c>
      <c r="D85" s="35">
        <v>70000</v>
      </c>
      <c r="E85" s="405">
        <f>SUM('GF 500'!H280)</f>
        <v>2490</v>
      </c>
      <c r="F85" s="35">
        <f t="shared" si="67"/>
        <v>67510</v>
      </c>
      <c r="G85" s="146">
        <v>30000</v>
      </c>
      <c r="H85" s="1002">
        <f>30100-0.5</f>
        <v>30099.5</v>
      </c>
      <c r="I85" s="35">
        <f t="shared" si="68"/>
        <v>-99.5</v>
      </c>
      <c r="J85" s="405">
        <f>SUM(E85+H85)</f>
        <v>32589.5</v>
      </c>
      <c r="K85" s="41"/>
      <c r="L85" s="41"/>
      <c r="M85" s="55"/>
      <c r="N85" s="41"/>
    </row>
    <row r="86" spans="1:14" ht="21" customHeight="1" x14ac:dyDescent="0.3">
      <c r="A86" s="52" t="s">
        <v>164</v>
      </c>
      <c r="B86" s="54">
        <f>SUM(B87:B92)</f>
        <v>11715700</v>
      </c>
      <c r="C86" s="54">
        <f t="shared" ref="C86:D86" si="70">SUM(C87:C92)</f>
        <v>7907600</v>
      </c>
      <c r="D86" s="54">
        <f t="shared" si="70"/>
        <v>7464600</v>
      </c>
      <c r="E86" s="414">
        <f t="shared" ref="E86:I86" si="71">SUM(E87:E92)</f>
        <v>2645988.4700000002</v>
      </c>
      <c r="F86" s="54">
        <f t="shared" ref="F86:G86" si="72">SUM(F87:F92)</f>
        <v>4818611.53</v>
      </c>
      <c r="G86" s="54">
        <f t="shared" si="72"/>
        <v>443000</v>
      </c>
      <c r="H86" s="414">
        <f t="shared" si="71"/>
        <v>422999.51</v>
      </c>
      <c r="I86" s="54">
        <f t="shared" si="71"/>
        <v>20000.490000000002</v>
      </c>
      <c r="J86" s="54">
        <f>SUM(J87:J92)</f>
        <v>3068987.98</v>
      </c>
      <c r="K86" s="41"/>
      <c r="L86" s="41"/>
      <c r="M86" s="55">
        <v>11671155.73</v>
      </c>
      <c r="N86" s="400">
        <f>J86-M86</f>
        <v>-8602167.75</v>
      </c>
    </row>
    <row r="87" spans="1:14" ht="21" customHeight="1" x14ac:dyDescent="0.3">
      <c r="A87" s="123" t="s">
        <v>165</v>
      </c>
      <c r="B87" s="35">
        <f>4640000+1599700</f>
        <v>6239700</v>
      </c>
      <c r="C87" s="35">
        <v>3119800</v>
      </c>
      <c r="D87" s="35">
        <v>3019800</v>
      </c>
      <c r="E87" s="405">
        <f>SUM('GF 450'!B240)</f>
        <v>1908667.52</v>
      </c>
      <c r="F87" s="35">
        <f>SUM(D87-E87)</f>
        <v>1111132.48</v>
      </c>
      <c r="G87" s="146">
        <v>100000</v>
      </c>
      <c r="H87" s="408">
        <v>100000</v>
      </c>
      <c r="I87" s="35">
        <f>SUM(G87-H87)</f>
        <v>0</v>
      </c>
      <c r="J87" s="1002">
        <f>SUM(E87+H87)</f>
        <v>2008667.52</v>
      </c>
      <c r="K87" s="41"/>
      <c r="L87" s="41"/>
      <c r="M87" s="55"/>
      <c r="N87" s="41"/>
    </row>
    <row r="88" spans="1:14" ht="21" customHeight="1" x14ac:dyDescent="0.3">
      <c r="A88" s="123" t="s">
        <v>166</v>
      </c>
      <c r="B88" s="35">
        <v>440000</v>
      </c>
      <c r="C88" s="35">
        <v>219800</v>
      </c>
      <c r="D88" s="35">
        <v>159800</v>
      </c>
      <c r="E88" s="405">
        <f>'GF 450'!C240+'GF 450'!D240</f>
        <v>310673.31</v>
      </c>
      <c r="F88" s="35">
        <f>SUM(D88-E88)</f>
        <v>-150873.31</v>
      </c>
      <c r="G88" s="146">
        <v>60000</v>
      </c>
      <c r="H88" s="408">
        <v>60000</v>
      </c>
      <c r="I88" s="35">
        <f>SUM(G88-H88)</f>
        <v>0</v>
      </c>
      <c r="J88" s="1002">
        <f>SUM(E88+H88)</f>
        <v>370673.31</v>
      </c>
      <c r="K88" s="41"/>
      <c r="L88" s="41"/>
      <c r="M88" s="55"/>
      <c r="N88" s="41"/>
    </row>
    <row r="89" spans="1:14" ht="21" customHeight="1" x14ac:dyDescent="0.3">
      <c r="A89" s="123" t="s">
        <v>167</v>
      </c>
      <c r="B89" s="684">
        <f>456700+23300</f>
        <v>480000</v>
      </c>
      <c r="C89" s="684">
        <v>240000</v>
      </c>
      <c r="D89" s="684">
        <v>225000</v>
      </c>
      <c r="E89" s="405">
        <f>SUM('GF 450'!E240)</f>
        <v>94447</v>
      </c>
      <c r="F89" s="684">
        <f>SUM(D89-E89)</f>
        <v>130553</v>
      </c>
      <c r="G89" s="686">
        <v>15000</v>
      </c>
      <c r="H89" s="408">
        <v>15000</v>
      </c>
      <c r="I89" s="35">
        <f>SUM(G89-H89)</f>
        <v>0</v>
      </c>
      <c r="J89" s="1002">
        <f>SUM(E89+H89)</f>
        <v>109447</v>
      </c>
      <c r="K89" s="41"/>
      <c r="L89" s="41"/>
      <c r="M89" s="55"/>
      <c r="N89" s="41"/>
    </row>
    <row r="90" spans="1:14" ht="21" customHeight="1" x14ac:dyDescent="0.3">
      <c r="A90" s="123" t="s">
        <v>168</v>
      </c>
      <c r="B90" s="684">
        <v>0</v>
      </c>
      <c r="C90" s="684">
        <f>SUM(D90+G90)</f>
        <v>0</v>
      </c>
      <c r="D90" s="684">
        <v>0</v>
      </c>
      <c r="E90" s="405">
        <v>0</v>
      </c>
      <c r="F90" s="684">
        <f>SUM(D90-E90)</f>
        <v>0</v>
      </c>
      <c r="G90" s="686">
        <v>0</v>
      </c>
      <c r="H90" s="408"/>
      <c r="I90" s="35">
        <f>SUM(G90-H90)</f>
        <v>0</v>
      </c>
      <c r="J90" s="1002">
        <f>SUM(E90+H90)</f>
        <v>0</v>
      </c>
      <c r="K90" s="41"/>
      <c r="L90" s="41"/>
      <c r="M90" s="55"/>
      <c r="N90" s="41"/>
    </row>
    <row r="91" spans="1:14" ht="21" customHeight="1" x14ac:dyDescent="0.3">
      <c r="A91" s="123" t="s">
        <v>169</v>
      </c>
      <c r="B91" s="684">
        <v>456000</v>
      </c>
      <c r="C91" s="684">
        <v>228000</v>
      </c>
      <c r="D91" s="684">
        <v>0</v>
      </c>
      <c r="E91" s="685">
        <v>0</v>
      </c>
      <c r="F91" s="684">
        <f>SUM(D91-E91)</f>
        <v>0</v>
      </c>
      <c r="G91" s="686">
        <v>228000</v>
      </c>
      <c r="H91" s="408">
        <v>228000</v>
      </c>
      <c r="I91" s="35">
        <f>SUM(G91-H91)</f>
        <v>0</v>
      </c>
      <c r="J91" s="1002">
        <f>SUM(E91+H91)</f>
        <v>228000</v>
      </c>
      <c r="K91" s="41"/>
      <c r="L91" s="41"/>
      <c r="M91" s="55"/>
      <c r="N91" s="41"/>
    </row>
    <row r="92" spans="1:14" ht="21" customHeight="1" x14ac:dyDescent="0.3">
      <c r="A92" s="52" t="s">
        <v>170</v>
      </c>
      <c r="B92" s="54">
        <f t="shared" ref="B92:J92" si="73">SUM(B93:B97)</f>
        <v>4100000</v>
      </c>
      <c r="C92" s="54">
        <f t="shared" si="73"/>
        <v>4100000</v>
      </c>
      <c r="D92" s="54">
        <f t="shared" si="73"/>
        <v>4060000</v>
      </c>
      <c r="E92" s="414">
        <f t="shared" si="73"/>
        <v>332200.64</v>
      </c>
      <c r="F92" s="54">
        <f t="shared" si="73"/>
        <v>3727799.3600000003</v>
      </c>
      <c r="G92" s="54">
        <f t="shared" si="73"/>
        <v>40000</v>
      </c>
      <c r="H92" s="414">
        <f t="shared" si="73"/>
        <v>19999.509999999998</v>
      </c>
      <c r="I92" s="54">
        <f t="shared" si="73"/>
        <v>20000.490000000002</v>
      </c>
      <c r="J92" s="54">
        <f t="shared" si="73"/>
        <v>352200.15</v>
      </c>
      <c r="K92" s="56"/>
      <c r="L92" s="56"/>
      <c r="M92" s="55"/>
      <c r="N92" s="56"/>
    </row>
    <row r="93" spans="1:14" ht="21" customHeight="1" x14ac:dyDescent="0.3">
      <c r="A93" s="123" t="s">
        <v>171</v>
      </c>
      <c r="B93" s="35">
        <v>1200000</v>
      </c>
      <c r="C93" s="35">
        <f t="shared" ref="C93:C97" si="74">SUM(D93+G93)</f>
        <v>1200000</v>
      </c>
      <c r="D93" s="35">
        <v>1200000</v>
      </c>
      <c r="E93" s="405">
        <f>SUM('GF 450'!F240)</f>
        <v>0</v>
      </c>
      <c r="F93" s="35">
        <f t="shared" ref="F93:F97" si="75">SUM(D93-E93)</f>
        <v>1200000</v>
      </c>
      <c r="G93" s="146">
        <v>0</v>
      </c>
      <c r="H93" s="405">
        <v>0</v>
      </c>
      <c r="I93" s="35">
        <f t="shared" ref="I93:I97" si="76">SUM(G93-H93)</f>
        <v>0</v>
      </c>
      <c r="J93" s="405">
        <f t="shared" ref="J93:J97" si="77">SUM(E93+H93)</f>
        <v>0</v>
      </c>
      <c r="K93" s="41"/>
      <c r="L93" s="41"/>
      <c r="M93" s="55"/>
      <c r="N93" s="41"/>
    </row>
    <row r="94" spans="1:14" ht="21" customHeight="1" x14ac:dyDescent="0.3">
      <c r="A94" s="123" t="s">
        <v>172</v>
      </c>
      <c r="B94" s="684">
        <v>100000</v>
      </c>
      <c r="C94" s="684">
        <f t="shared" si="74"/>
        <v>100000</v>
      </c>
      <c r="D94" s="684">
        <v>100000</v>
      </c>
      <c r="E94" s="405">
        <f>SUM('GF 450'!G240)</f>
        <v>26438.639999999999</v>
      </c>
      <c r="F94" s="684">
        <f t="shared" si="75"/>
        <v>73561.36</v>
      </c>
      <c r="G94" s="686">
        <v>0</v>
      </c>
      <c r="H94" s="405">
        <v>0</v>
      </c>
      <c r="I94" s="35">
        <f t="shared" si="76"/>
        <v>0</v>
      </c>
      <c r="J94" s="405">
        <f t="shared" si="77"/>
        <v>26438.639999999999</v>
      </c>
      <c r="K94" s="41"/>
      <c r="L94" s="41"/>
      <c r="M94" s="55"/>
      <c r="N94" s="41"/>
    </row>
    <row r="95" spans="1:14" ht="21" customHeight="1" x14ac:dyDescent="0.3">
      <c r="A95" s="123" t="s">
        <v>173</v>
      </c>
      <c r="B95" s="684">
        <f>64200+100000</f>
        <v>164200</v>
      </c>
      <c r="C95" s="684">
        <f t="shared" si="74"/>
        <v>164200</v>
      </c>
      <c r="D95" s="684">
        <f>64200+100000</f>
        <v>164200</v>
      </c>
      <c r="E95" s="405">
        <f>SUM('GF 450'!H240)</f>
        <v>0</v>
      </c>
      <c r="F95" s="684">
        <f t="shared" si="75"/>
        <v>164200</v>
      </c>
      <c r="G95" s="686">
        <v>0</v>
      </c>
      <c r="H95" s="405">
        <v>0</v>
      </c>
      <c r="I95" s="35">
        <f t="shared" si="76"/>
        <v>0</v>
      </c>
      <c r="J95" s="405">
        <f t="shared" si="77"/>
        <v>0</v>
      </c>
      <c r="K95" s="41"/>
      <c r="L95" s="41"/>
      <c r="M95" s="55"/>
      <c r="N95" s="41"/>
    </row>
    <row r="96" spans="1:14" ht="21" customHeight="1" x14ac:dyDescent="0.3">
      <c r="A96" s="123" t="s">
        <v>174</v>
      </c>
      <c r="B96" s="684">
        <f>1500000-64200+100000</f>
        <v>1535800</v>
      </c>
      <c r="C96" s="684">
        <f t="shared" si="74"/>
        <v>1535800</v>
      </c>
      <c r="D96" s="684">
        <f>1460000-64200+100000</f>
        <v>1495800</v>
      </c>
      <c r="E96" s="405">
        <f>SUM('GF 450'!I240)</f>
        <v>305762</v>
      </c>
      <c r="F96" s="684">
        <f t="shared" si="75"/>
        <v>1190038</v>
      </c>
      <c r="G96" s="686">
        <v>40000</v>
      </c>
      <c r="H96" s="405">
        <v>19999.509999999998</v>
      </c>
      <c r="I96" s="35">
        <f t="shared" si="76"/>
        <v>20000.490000000002</v>
      </c>
      <c r="J96" s="405">
        <f>SUM(E96+H96)</f>
        <v>325761.51</v>
      </c>
      <c r="K96" s="41"/>
      <c r="L96" s="41"/>
      <c r="M96" s="55"/>
      <c r="N96" s="41"/>
    </row>
    <row r="97" spans="1:18" ht="21" customHeight="1" x14ac:dyDescent="0.3">
      <c r="A97" s="700" t="s">
        <v>175</v>
      </c>
      <c r="B97" s="688">
        <v>1100000</v>
      </c>
      <c r="C97" s="688">
        <f t="shared" si="74"/>
        <v>1100000</v>
      </c>
      <c r="D97" s="688">
        <v>1100000</v>
      </c>
      <c r="E97" s="689">
        <f>SUM('GF 450'!J240)</f>
        <v>0</v>
      </c>
      <c r="F97" s="688">
        <f t="shared" si="75"/>
        <v>1100000</v>
      </c>
      <c r="G97" s="690">
        <v>0</v>
      </c>
      <c r="H97" s="689">
        <v>0</v>
      </c>
      <c r="I97" s="688">
        <f t="shared" si="76"/>
        <v>0</v>
      </c>
      <c r="J97" s="689">
        <f t="shared" si="77"/>
        <v>0</v>
      </c>
      <c r="K97" s="41"/>
      <c r="L97" s="41"/>
      <c r="M97" s="55"/>
      <c r="N97" s="41"/>
    </row>
    <row r="98" spans="1:18" ht="21" customHeight="1" x14ac:dyDescent="0.3">
      <c r="A98" s="988" t="s">
        <v>176</v>
      </c>
      <c r="B98" s="989">
        <f>SUM(B99)</f>
        <v>98524800</v>
      </c>
      <c r="C98" s="989">
        <f t="shared" ref="C98:D98" si="78">SUM(C99)</f>
        <v>98524800</v>
      </c>
      <c r="D98" s="989">
        <f t="shared" si="78"/>
        <v>98524800</v>
      </c>
      <c r="E98" s="1003">
        <f t="shared" ref="E98:J98" si="79">SUM(E99)</f>
        <v>0</v>
      </c>
      <c r="F98" s="989">
        <f t="shared" ref="F98:G99" si="80">SUM(F99)</f>
        <v>98524800</v>
      </c>
      <c r="G98" s="989">
        <f t="shared" si="80"/>
        <v>0</v>
      </c>
      <c r="H98" s="1003">
        <f t="shared" si="79"/>
        <v>0</v>
      </c>
      <c r="I98" s="989">
        <f t="shared" si="79"/>
        <v>0</v>
      </c>
      <c r="J98" s="1003">
        <f t="shared" si="79"/>
        <v>0</v>
      </c>
      <c r="K98" s="41"/>
      <c r="L98" s="41"/>
      <c r="M98" s="55">
        <f>32100+13963.5+6206+42650.2+5885+18600.02+2236.3+4173+31565+89246.56</f>
        <v>246625.58000000002</v>
      </c>
      <c r="N98" s="400">
        <f>J98-M98</f>
        <v>-246625.58000000002</v>
      </c>
    </row>
    <row r="99" spans="1:18" ht="21" customHeight="1" x14ac:dyDescent="0.3">
      <c r="A99" s="52" t="s">
        <v>177</v>
      </c>
      <c r="B99" s="54">
        <f t="shared" ref="B99:D99" si="81">SUM(B100)</f>
        <v>98524800</v>
      </c>
      <c r="C99" s="54">
        <f t="shared" si="81"/>
        <v>98524800</v>
      </c>
      <c r="D99" s="54">
        <f t="shared" si="81"/>
        <v>98524800</v>
      </c>
      <c r="E99" s="414">
        <f t="shared" ref="E99:J99" si="82">SUM(E100)</f>
        <v>0</v>
      </c>
      <c r="F99" s="54">
        <f t="shared" si="80"/>
        <v>98524800</v>
      </c>
      <c r="G99" s="54">
        <f t="shared" si="80"/>
        <v>0</v>
      </c>
      <c r="H99" s="414">
        <f t="shared" si="82"/>
        <v>0</v>
      </c>
      <c r="I99" s="54">
        <f t="shared" si="82"/>
        <v>0</v>
      </c>
      <c r="J99" s="414">
        <f t="shared" si="82"/>
        <v>0</v>
      </c>
      <c r="K99" s="41"/>
      <c r="L99" s="41"/>
      <c r="M99" s="55"/>
      <c r="N99" s="41"/>
    </row>
    <row r="100" spans="1:18" ht="21" customHeight="1" x14ac:dyDescent="0.3">
      <c r="A100" s="52" t="s">
        <v>178</v>
      </c>
      <c r="B100" s="54">
        <f>SUM(B101+B104+B108+B112+B116)</f>
        <v>98524800</v>
      </c>
      <c r="C100" s="54">
        <f>SUM(C101+C104+C108+C110+C112+C114+C116)</f>
        <v>98524800</v>
      </c>
      <c r="D100" s="54">
        <f>SUM(D101+D104+D108+D110+D112+D114+D116)</f>
        <v>98524800</v>
      </c>
      <c r="E100" s="414">
        <f>SUM(E101+E104+E108+E110+E112+E116)</f>
        <v>0</v>
      </c>
      <c r="F100" s="54">
        <f>SUM(F101+F104+F108+F112+F114+F116)</f>
        <v>98524800</v>
      </c>
      <c r="G100" s="54">
        <f>SUM(G101+G104+G108+G110+G112+G116)</f>
        <v>0</v>
      </c>
      <c r="H100" s="414">
        <f>SUM(H101+H104+H108+H110+H116)</f>
        <v>0</v>
      </c>
      <c r="I100" s="54">
        <f>SUM(I101+I104+I108+I110+I116)</f>
        <v>0</v>
      </c>
      <c r="J100" s="414">
        <f>SUM(J101+J104+J108+J110+J112+J116)</f>
        <v>0</v>
      </c>
      <c r="K100" s="41"/>
      <c r="L100" s="41"/>
      <c r="M100" s="55"/>
      <c r="N100" s="400"/>
    </row>
    <row r="101" spans="1:18" ht="21" customHeight="1" x14ac:dyDescent="0.3">
      <c r="A101" s="403" t="s">
        <v>179</v>
      </c>
      <c r="B101" s="62">
        <f>SUM(B102:B103)</f>
        <v>5457000</v>
      </c>
      <c r="C101" s="62">
        <f t="shared" ref="C101:D101" si="83">SUM(C102:C103)</f>
        <v>5457000</v>
      </c>
      <c r="D101" s="62">
        <f t="shared" si="83"/>
        <v>5457000</v>
      </c>
      <c r="E101" s="404">
        <f t="shared" ref="E101:J101" si="84">SUM(E103)</f>
        <v>0</v>
      </c>
      <c r="F101" s="62">
        <f t="shared" ref="F101:G101" si="85">SUM(F102:F103)</f>
        <v>5457000</v>
      </c>
      <c r="G101" s="62">
        <f t="shared" si="85"/>
        <v>0</v>
      </c>
      <c r="H101" s="62">
        <f t="shared" si="84"/>
        <v>0</v>
      </c>
      <c r="I101" s="62">
        <f t="shared" si="84"/>
        <v>0</v>
      </c>
      <c r="J101" s="62">
        <f t="shared" si="84"/>
        <v>0</v>
      </c>
      <c r="K101" s="41"/>
      <c r="L101" s="41"/>
      <c r="M101" s="55"/>
      <c r="N101" s="41"/>
    </row>
    <row r="102" spans="1:18" s="983" customFormat="1" ht="21" customHeight="1" x14ac:dyDescent="0.3">
      <c r="A102" s="123" t="s">
        <v>1267</v>
      </c>
      <c r="B102" s="35">
        <v>2675000</v>
      </c>
      <c r="C102" s="35">
        <f>SUM(D102+G102)</f>
        <v>2675000</v>
      </c>
      <c r="D102" s="35">
        <v>2675000</v>
      </c>
      <c r="E102" s="418"/>
      <c r="F102" s="35">
        <f>SUM(D102-E102)</f>
        <v>2675000</v>
      </c>
      <c r="G102" s="146"/>
      <c r="H102" s="418"/>
      <c r="I102" s="35">
        <f>SUM(G102-H102)</f>
        <v>0</v>
      </c>
      <c r="J102" s="418">
        <f>SUM(E102+H102)</f>
        <v>0</v>
      </c>
      <c r="K102" s="41"/>
    </row>
    <row r="103" spans="1:18" s="983" customFormat="1" ht="21" customHeight="1" x14ac:dyDescent="0.3">
      <c r="A103" s="691" t="s">
        <v>1268</v>
      </c>
      <c r="B103" s="684">
        <v>2782000</v>
      </c>
      <c r="C103" s="35">
        <f>SUM(D103+G103)</f>
        <v>2782000</v>
      </c>
      <c r="D103" s="684">
        <v>2782000</v>
      </c>
      <c r="E103" s="692"/>
      <c r="F103" s="35">
        <f>SUM(D103-E103)</f>
        <v>2782000</v>
      </c>
      <c r="G103" s="686"/>
      <c r="H103" s="692"/>
      <c r="I103" s="35">
        <f>SUM(G103-H103)</f>
        <v>0</v>
      </c>
      <c r="J103" s="418">
        <f>SUM(E103+H103)</f>
        <v>0</v>
      </c>
      <c r="K103" s="41"/>
    </row>
    <row r="104" spans="1:18" ht="21" customHeight="1" x14ac:dyDescent="0.3">
      <c r="A104" s="403" t="s">
        <v>180</v>
      </c>
      <c r="B104" s="62">
        <f t="shared" ref="B104:C104" si="86">SUM(B105:B107)</f>
        <v>81948600</v>
      </c>
      <c r="C104" s="62">
        <f t="shared" si="86"/>
        <v>81948600</v>
      </c>
      <c r="D104" s="62">
        <f>SUM(D105:D107)</f>
        <v>81948600</v>
      </c>
      <c r="E104" s="404">
        <f t="shared" ref="E104:J104" si="87">SUM(E105:E107)</f>
        <v>0</v>
      </c>
      <c r="F104" s="62">
        <f t="shared" ref="F104:G104" si="88">SUM(F105:F107)</f>
        <v>81948600</v>
      </c>
      <c r="G104" s="62">
        <f t="shared" si="88"/>
        <v>0</v>
      </c>
      <c r="H104" s="404">
        <f t="shared" si="87"/>
        <v>0</v>
      </c>
      <c r="I104" s="62">
        <f t="shared" si="87"/>
        <v>0</v>
      </c>
      <c r="J104" s="404">
        <f t="shared" si="87"/>
        <v>0</v>
      </c>
    </row>
    <row r="105" spans="1:18" ht="18.75" x14ac:dyDescent="0.3">
      <c r="A105" s="93" t="s">
        <v>1269</v>
      </c>
      <c r="B105" s="35">
        <v>69646000</v>
      </c>
      <c r="C105" s="35">
        <f>SUM(D105+G105)</f>
        <v>69646000</v>
      </c>
      <c r="D105" s="35">
        <v>69646000</v>
      </c>
      <c r="E105" s="405">
        <f>+'GF 600'!D134</f>
        <v>0</v>
      </c>
      <c r="F105" s="35">
        <f>SUM(D105-E105)</f>
        <v>69646000</v>
      </c>
      <c r="G105" s="146">
        <v>0</v>
      </c>
      <c r="H105" s="405">
        <v>0</v>
      </c>
      <c r="I105" s="35">
        <f>SUM(G105-H105)</f>
        <v>0</v>
      </c>
      <c r="J105" s="405">
        <f>SUM(E105+H105)</f>
        <v>0</v>
      </c>
    </row>
    <row r="106" spans="1:18" ht="18.75" x14ac:dyDescent="0.3">
      <c r="A106" s="93" t="s">
        <v>1270</v>
      </c>
      <c r="B106" s="35">
        <v>6711000</v>
      </c>
      <c r="C106" s="35">
        <f>SUM(D106+G106)</f>
        <v>6711000</v>
      </c>
      <c r="D106" s="35">
        <v>6711000</v>
      </c>
      <c r="E106" s="405">
        <f>+'GF 600'!F133</f>
        <v>0</v>
      </c>
      <c r="F106" s="35">
        <f>SUM(D106-E106)</f>
        <v>6711000</v>
      </c>
      <c r="G106" s="146">
        <v>0</v>
      </c>
      <c r="H106" s="405">
        <v>0</v>
      </c>
      <c r="I106" s="35">
        <f>SUM(G106-H106)</f>
        <v>0</v>
      </c>
      <c r="J106" s="405">
        <f>SUM(E106+H106)</f>
        <v>0</v>
      </c>
    </row>
    <row r="107" spans="1:18" ht="18.75" x14ac:dyDescent="0.3">
      <c r="A107" s="93" t="s">
        <v>1271</v>
      </c>
      <c r="B107" s="35">
        <v>5591600</v>
      </c>
      <c r="C107" s="35">
        <f>SUM(D107+G107)</f>
        <v>5591600</v>
      </c>
      <c r="D107" s="35">
        <v>5591600</v>
      </c>
      <c r="E107" s="405">
        <v>0</v>
      </c>
      <c r="F107" s="35">
        <f>SUM(D107-E107)</f>
        <v>5591600</v>
      </c>
      <c r="G107" s="146">
        <v>0</v>
      </c>
      <c r="H107" s="405">
        <v>0</v>
      </c>
      <c r="I107" s="35">
        <f>SUM(G107-H107)</f>
        <v>0</v>
      </c>
      <c r="J107" s="405">
        <f>SUM(E107+H107)</f>
        <v>0</v>
      </c>
    </row>
    <row r="108" spans="1:18" ht="21" customHeight="1" x14ac:dyDescent="0.3">
      <c r="A108" s="403" t="s">
        <v>181</v>
      </c>
      <c r="B108" s="62"/>
      <c r="C108" s="62">
        <f t="shared" ref="C108:D108" si="89">SUM(C109)</f>
        <v>0</v>
      </c>
      <c r="D108" s="62">
        <f t="shared" si="89"/>
        <v>0</v>
      </c>
      <c r="E108" s="404">
        <f t="shared" ref="E108:J108" si="90">SUM(E109)</f>
        <v>0</v>
      </c>
      <c r="F108" s="62">
        <f t="shared" si="90"/>
        <v>0</v>
      </c>
      <c r="G108" s="62">
        <f t="shared" si="90"/>
        <v>0</v>
      </c>
      <c r="H108" s="404">
        <f t="shared" si="90"/>
        <v>0</v>
      </c>
      <c r="I108" s="62">
        <f t="shared" si="90"/>
        <v>0</v>
      </c>
      <c r="J108" s="404">
        <f t="shared" si="90"/>
        <v>0</v>
      </c>
    </row>
    <row r="109" spans="1:18" ht="21" customHeight="1" x14ac:dyDescent="0.3">
      <c r="A109" s="123" t="s">
        <v>182</v>
      </c>
      <c r="B109" s="35"/>
      <c r="C109" s="35">
        <f>SUM(D109+G109)</f>
        <v>0</v>
      </c>
      <c r="D109" s="35"/>
      <c r="E109" s="405">
        <v>0</v>
      </c>
      <c r="F109" s="35">
        <f>SUM(D109-E109)</f>
        <v>0</v>
      </c>
      <c r="G109" s="146">
        <v>0</v>
      </c>
      <c r="H109" s="405">
        <v>0</v>
      </c>
      <c r="I109" s="35">
        <f>SUM(G109-H109)</f>
        <v>0</v>
      </c>
      <c r="J109" s="405">
        <f>SUM(E109+H109)</f>
        <v>0</v>
      </c>
    </row>
    <row r="110" spans="1:18" ht="21" customHeight="1" x14ac:dyDescent="0.3">
      <c r="A110" s="403" t="s">
        <v>183</v>
      </c>
      <c r="B110" s="62"/>
      <c r="C110" s="62">
        <f t="shared" ref="C110:D110" si="91">SUM(C111)</f>
        <v>0</v>
      </c>
      <c r="D110" s="62">
        <f t="shared" si="91"/>
        <v>0</v>
      </c>
      <c r="E110" s="404">
        <f t="shared" ref="E110:J110" si="92">SUM(E111)</f>
        <v>0</v>
      </c>
      <c r="F110" s="62">
        <f t="shared" si="92"/>
        <v>0</v>
      </c>
      <c r="G110" s="62">
        <f t="shared" si="92"/>
        <v>0</v>
      </c>
      <c r="H110" s="404">
        <f t="shared" si="92"/>
        <v>0</v>
      </c>
      <c r="I110" s="62">
        <f t="shared" si="92"/>
        <v>0</v>
      </c>
      <c r="J110" s="404">
        <f t="shared" si="92"/>
        <v>0</v>
      </c>
    </row>
    <row r="111" spans="1:18" ht="21" customHeight="1" x14ac:dyDescent="0.3">
      <c r="A111" s="123" t="s">
        <v>184</v>
      </c>
      <c r="B111" s="35"/>
      <c r="C111" s="35">
        <f>SUM(D111+G111)</f>
        <v>0</v>
      </c>
      <c r="D111" s="35"/>
      <c r="E111" s="405">
        <v>0</v>
      </c>
      <c r="F111" s="35">
        <f>SUM(D111-E111)</f>
        <v>0</v>
      </c>
      <c r="G111" s="146">
        <v>0</v>
      </c>
      <c r="H111" s="405">
        <v>0</v>
      </c>
      <c r="I111" s="35">
        <f>SUM(G111-H111)</f>
        <v>0</v>
      </c>
      <c r="J111" s="405">
        <f>SUM(E111+H111)</f>
        <v>0</v>
      </c>
    </row>
    <row r="112" spans="1:18" ht="21" customHeight="1" x14ac:dyDescent="0.3">
      <c r="A112" s="403" t="s">
        <v>185</v>
      </c>
      <c r="B112" s="62"/>
      <c r="C112" s="62">
        <f t="shared" ref="C112:D112" si="93">SUM(C113)</f>
        <v>0</v>
      </c>
      <c r="D112" s="62">
        <f t="shared" si="93"/>
        <v>0</v>
      </c>
      <c r="E112" s="404">
        <f t="shared" ref="E112:J114" si="94">SUM(E113)</f>
        <v>0</v>
      </c>
      <c r="F112" s="62">
        <f t="shared" si="94"/>
        <v>0</v>
      </c>
      <c r="G112" s="62">
        <f t="shared" si="94"/>
        <v>0</v>
      </c>
      <c r="H112" s="404">
        <f t="shared" si="94"/>
        <v>0</v>
      </c>
      <c r="I112" s="62">
        <f t="shared" si="94"/>
        <v>0</v>
      </c>
      <c r="J112" s="404">
        <f t="shared" si="94"/>
        <v>0</v>
      </c>
    </row>
    <row r="113" spans="1:18" ht="21" customHeight="1" x14ac:dyDescent="0.3">
      <c r="A113" s="123" t="s">
        <v>186</v>
      </c>
      <c r="B113" s="35"/>
      <c r="C113" s="35">
        <f>SUM(D113+G113)</f>
        <v>0</v>
      </c>
      <c r="D113" s="35"/>
      <c r="E113" s="405">
        <v>0</v>
      </c>
      <c r="F113" s="35">
        <f>SUM(D113-E113)</f>
        <v>0</v>
      </c>
      <c r="G113" s="146">
        <v>0</v>
      </c>
      <c r="H113" s="405">
        <v>0</v>
      </c>
      <c r="I113" s="35">
        <f>SUM(G113-H113)</f>
        <v>0</v>
      </c>
      <c r="J113" s="405">
        <f>SUM(E113+H113)</f>
        <v>0</v>
      </c>
    </row>
    <row r="114" spans="1:18" ht="21" customHeight="1" x14ac:dyDescent="0.3">
      <c r="A114" s="403" t="s">
        <v>1191</v>
      </c>
      <c r="B114" s="62">
        <f t="shared" ref="B114:D114" si="95">SUM(B115)</f>
        <v>0</v>
      </c>
      <c r="C114" s="62">
        <f t="shared" si="95"/>
        <v>0</v>
      </c>
      <c r="D114" s="62">
        <f t="shared" si="95"/>
        <v>0</v>
      </c>
      <c r="E114" s="404">
        <f t="shared" si="94"/>
        <v>0</v>
      </c>
      <c r="F114" s="62">
        <f t="shared" si="94"/>
        <v>0</v>
      </c>
      <c r="G114" s="62">
        <f t="shared" si="94"/>
        <v>0</v>
      </c>
      <c r="H114" s="404">
        <f t="shared" si="94"/>
        <v>0</v>
      </c>
      <c r="I114" s="62">
        <f t="shared" si="94"/>
        <v>0</v>
      </c>
      <c r="J114" s="404">
        <f t="shared" si="94"/>
        <v>0</v>
      </c>
    </row>
    <row r="115" spans="1:18" ht="21" customHeight="1" x14ac:dyDescent="0.3">
      <c r="A115" s="123" t="s">
        <v>186</v>
      </c>
      <c r="B115" s="35">
        <v>0</v>
      </c>
      <c r="C115" s="35">
        <f>SUM(D115+G115)</f>
        <v>0</v>
      </c>
      <c r="D115" s="35"/>
      <c r="E115" s="405">
        <v>0</v>
      </c>
      <c r="F115" s="35">
        <f>SUM(D115-E115)</f>
        <v>0</v>
      </c>
      <c r="G115" s="146">
        <v>0</v>
      </c>
      <c r="H115" s="405">
        <v>0</v>
      </c>
      <c r="I115" s="35">
        <f>SUM(G115-H115)</f>
        <v>0</v>
      </c>
      <c r="J115" s="405">
        <f>SUM(E115+H115)</f>
        <v>0</v>
      </c>
    </row>
    <row r="116" spans="1:18" ht="21" customHeight="1" x14ac:dyDescent="0.3">
      <c r="A116" s="403" t="s">
        <v>1190</v>
      </c>
      <c r="B116" s="62">
        <f t="shared" ref="B116:D116" si="96">SUM(B117)</f>
        <v>11119200</v>
      </c>
      <c r="C116" s="62">
        <f t="shared" si="96"/>
        <v>11119200</v>
      </c>
      <c r="D116" s="62">
        <f t="shared" si="96"/>
        <v>11119200</v>
      </c>
      <c r="E116" s="404">
        <f t="shared" ref="E116:J116" si="97">SUM(E117)</f>
        <v>0</v>
      </c>
      <c r="F116" s="62">
        <f t="shared" si="97"/>
        <v>11119200</v>
      </c>
      <c r="G116" s="62">
        <f t="shared" si="97"/>
        <v>0</v>
      </c>
      <c r="H116" s="62">
        <f t="shared" si="97"/>
        <v>0</v>
      </c>
      <c r="I116" s="62">
        <f t="shared" si="97"/>
        <v>0</v>
      </c>
      <c r="J116" s="62">
        <f t="shared" si="97"/>
        <v>0</v>
      </c>
    </row>
    <row r="117" spans="1:18" ht="21" customHeight="1" x14ac:dyDescent="0.3">
      <c r="A117" s="93" t="s">
        <v>1272</v>
      </c>
      <c r="B117" s="35">
        <v>11119200</v>
      </c>
      <c r="C117" s="35">
        <f>SUM(D117+G117)</f>
        <v>11119200</v>
      </c>
      <c r="D117" s="35">
        <v>11119200</v>
      </c>
      <c r="E117" s="405">
        <f>SUM('GF 600'!K134)</f>
        <v>0</v>
      </c>
      <c r="F117" s="35">
        <f>SUM(D117-E117)</f>
        <v>11119200</v>
      </c>
      <c r="G117" s="146"/>
      <c r="H117" s="405"/>
      <c r="I117" s="35">
        <f>SUM(G117-H117)</f>
        <v>0</v>
      </c>
      <c r="J117" s="405">
        <f>SUM(E117+H117)</f>
        <v>0</v>
      </c>
    </row>
    <row r="118" spans="1:18" ht="21" customHeight="1" x14ac:dyDescent="0.3">
      <c r="A118" s="52" t="s">
        <v>187</v>
      </c>
      <c r="B118" s="54">
        <f>SUM(B119+B128)</f>
        <v>176547800</v>
      </c>
      <c r="C118" s="54">
        <f>SUM(C119+C128)</f>
        <v>159908100</v>
      </c>
      <c r="D118" s="54">
        <f>SUM(D119+D128)</f>
        <v>159908100</v>
      </c>
      <c r="E118" s="414">
        <f t="shared" ref="E118:J118" si="98">SUM(E119+E128)</f>
        <v>128614915.22</v>
      </c>
      <c r="F118" s="54">
        <f>SUM(F119+F128)</f>
        <v>31293184.780000001</v>
      </c>
      <c r="G118" s="54">
        <f>SUM(G119+G128)</f>
        <v>0</v>
      </c>
      <c r="H118" s="414">
        <f t="shared" si="98"/>
        <v>0</v>
      </c>
      <c r="I118" s="54">
        <f t="shared" si="98"/>
        <v>0</v>
      </c>
      <c r="J118" s="414">
        <f t="shared" si="98"/>
        <v>128614915.22</v>
      </c>
    </row>
    <row r="119" spans="1:18" ht="21" customHeight="1" x14ac:dyDescent="0.3">
      <c r="A119" s="52" t="s">
        <v>188</v>
      </c>
      <c r="B119" s="54">
        <f t="shared" ref="B119:D119" si="99">SUM(B120)</f>
        <v>48976800</v>
      </c>
      <c r="C119" s="54">
        <f t="shared" si="99"/>
        <v>32337100</v>
      </c>
      <c r="D119" s="54">
        <f t="shared" si="99"/>
        <v>32337100</v>
      </c>
      <c r="E119" s="414">
        <f t="shared" ref="E119:J119" si="100">SUM(E120)</f>
        <v>1077257.2199999997</v>
      </c>
      <c r="F119" s="54">
        <f t="shared" si="100"/>
        <v>31259842.780000001</v>
      </c>
      <c r="G119" s="54">
        <f t="shared" si="100"/>
        <v>0</v>
      </c>
      <c r="H119" s="414">
        <f t="shared" si="100"/>
        <v>0</v>
      </c>
      <c r="I119" s="54">
        <f t="shared" si="100"/>
        <v>0</v>
      </c>
      <c r="J119" s="414">
        <f t="shared" si="100"/>
        <v>1077257.2199999997</v>
      </c>
      <c r="K119" s="41"/>
      <c r="L119" s="41"/>
      <c r="M119" s="55">
        <f>920487.64+85400+199180+3580+788006+143602+17063489.68+20000</f>
        <v>19223745.32</v>
      </c>
      <c r="N119" s="400">
        <f>J119-M119</f>
        <v>-18146488.100000001</v>
      </c>
    </row>
    <row r="120" spans="1:18" ht="18.75" x14ac:dyDescent="0.3">
      <c r="A120" s="403" t="s">
        <v>131</v>
      </c>
      <c r="B120" s="62">
        <f>SUM(B121:B127)</f>
        <v>48976800</v>
      </c>
      <c r="C120" s="62">
        <f>SUM(C121:C127)</f>
        <v>32337100</v>
      </c>
      <c r="D120" s="62">
        <f>SUM(D121:D127)</f>
        <v>32337100</v>
      </c>
      <c r="E120" s="404">
        <f t="shared" ref="E120:J120" si="101">SUM(E121:E127)</f>
        <v>1077257.2199999997</v>
      </c>
      <c r="F120" s="62">
        <f>SUM(F121:F127)</f>
        <v>31259842.780000001</v>
      </c>
      <c r="G120" s="62">
        <f>SUM(G121:G127)</f>
        <v>0</v>
      </c>
      <c r="H120" s="404">
        <f t="shared" si="101"/>
        <v>0</v>
      </c>
      <c r="I120" s="62">
        <f t="shared" si="101"/>
        <v>0</v>
      </c>
      <c r="J120" s="1005">
        <f t="shared" si="101"/>
        <v>1077257.2199999997</v>
      </c>
      <c r="K120" s="41"/>
      <c r="L120" s="41"/>
      <c r="M120" s="55"/>
      <c r="N120" s="41"/>
    </row>
    <row r="121" spans="1:18" ht="37.5" x14ac:dyDescent="0.3">
      <c r="A121" s="93" t="s">
        <v>189</v>
      </c>
      <c r="B121" s="35">
        <v>1286000</v>
      </c>
      <c r="C121" s="35">
        <f t="shared" ref="C121:C127" si="102">SUM(D121+G121)</f>
        <v>0</v>
      </c>
      <c r="D121" s="35">
        <v>0</v>
      </c>
      <c r="E121" s="405">
        <f>+'GF 900-ดำเนินงาน'!B224</f>
        <v>0</v>
      </c>
      <c r="F121" s="35">
        <f t="shared" ref="F121:F127" si="103">SUM(D121-E121)</f>
        <v>0</v>
      </c>
      <c r="G121" s="146"/>
      <c r="H121" s="405"/>
      <c r="I121" s="35">
        <f t="shared" ref="I121:I127" si="104">SUM(G121-H121)</f>
        <v>0</v>
      </c>
      <c r="J121" s="1004">
        <f t="shared" ref="J121:J127" si="105">SUM(E121+H121)</f>
        <v>0</v>
      </c>
      <c r="K121" s="41"/>
      <c r="L121" s="41"/>
      <c r="M121" s="55"/>
      <c r="N121" s="41"/>
    </row>
    <row r="122" spans="1:18" ht="18.75" x14ac:dyDescent="0.3">
      <c r="A122" s="93" t="s">
        <v>190</v>
      </c>
      <c r="B122" s="35">
        <v>950000</v>
      </c>
      <c r="C122" s="35">
        <f t="shared" si="102"/>
        <v>474800</v>
      </c>
      <c r="D122" s="35">
        <v>474800</v>
      </c>
      <c r="E122" s="405">
        <f>+'GF 900-ดำเนินงาน'!C224</f>
        <v>28000</v>
      </c>
      <c r="F122" s="35">
        <f t="shared" si="103"/>
        <v>446800</v>
      </c>
      <c r="G122" s="146"/>
      <c r="H122" s="405"/>
      <c r="I122" s="35">
        <f t="shared" si="104"/>
        <v>0</v>
      </c>
      <c r="J122" s="1004">
        <f t="shared" si="105"/>
        <v>28000</v>
      </c>
      <c r="K122" s="41"/>
      <c r="L122" s="41"/>
      <c r="M122" s="55"/>
      <c r="N122" s="41"/>
    </row>
    <row r="123" spans="1:18" ht="18.75" x14ac:dyDescent="0.3">
      <c r="A123" s="93" t="s">
        <v>191</v>
      </c>
      <c r="B123" s="35">
        <v>500000</v>
      </c>
      <c r="C123" s="35">
        <f t="shared" si="102"/>
        <v>335000</v>
      </c>
      <c r="D123" s="35">
        <v>335000</v>
      </c>
      <c r="E123" s="405">
        <f>+'GF 900-ดำเนินงาน'!D224</f>
        <v>16385</v>
      </c>
      <c r="F123" s="35">
        <f t="shared" si="103"/>
        <v>318615</v>
      </c>
      <c r="G123" s="146"/>
      <c r="H123" s="405"/>
      <c r="I123" s="35">
        <f t="shared" si="104"/>
        <v>0</v>
      </c>
      <c r="J123" s="1004">
        <f t="shared" si="105"/>
        <v>16385</v>
      </c>
      <c r="K123" s="41"/>
      <c r="L123" s="41"/>
      <c r="M123" s="55"/>
      <c r="N123" s="41"/>
    </row>
    <row r="124" spans="1:18" ht="18.75" x14ac:dyDescent="0.3">
      <c r="A124" s="93" t="s">
        <v>192</v>
      </c>
      <c r="B124" s="35">
        <v>500000</v>
      </c>
      <c r="C124" s="35">
        <f t="shared" si="102"/>
        <v>25000</v>
      </c>
      <c r="D124" s="35">
        <v>25000</v>
      </c>
      <c r="E124" s="405">
        <f>+'GF 900-ดำเนินงาน'!E224</f>
        <v>0</v>
      </c>
      <c r="F124" s="35">
        <f t="shared" si="103"/>
        <v>25000</v>
      </c>
      <c r="G124" s="146"/>
      <c r="H124" s="405"/>
      <c r="I124" s="35">
        <f t="shared" si="104"/>
        <v>0</v>
      </c>
      <c r="J124" s="1004">
        <f t="shared" si="105"/>
        <v>0</v>
      </c>
      <c r="K124" s="41"/>
      <c r="L124" s="41"/>
      <c r="M124" s="55"/>
      <c r="N124" s="41"/>
    </row>
    <row r="125" spans="1:18" ht="37.5" x14ac:dyDescent="0.3">
      <c r="A125" s="93" t="s">
        <v>193</v>
      </c>
      <c r="B125" s="684">
        <v>300000</v>
      </c>
      <c r="C125" s="684">
        <f t="shared" si="102"/>
        <v>124000</v>
      </c>
      <c r="D125" s="684">
        <v>124000</v>
      </c>
      <c r="E125" s="405">
        <f>+'GF 900-ดำเนินงาน'!F224</f>
        <v>0</v>
      </c>
      <c r="F125" s="684">
        <f t="shared" si="103"/>
        <v>124000</v>
      </c>
      <c r="G125" s="686"/>
      <c r="H125" s="405"/>
      <c r="I125" s="35">
        <f t="shared" si="104"/>
        <v>0</v>
      </c>
      <c r="J125" s="1004">
        <f t="shared" si="105"/>
        <v>0</v>
      </c>
      <c r="K125" s="41"/>
      <c r="L125" s="41"/>
      <c r="M125" s="55"/>
      <c r="N125" s="41"/>
    </row>
    <row r="126" spans="1:18" ht="46.5" customHeight="1" x14ac:dyDescent="0.3">
      <c r="A126" s="93" t="s">
        <v>194</v>
      </c>
      <c r="B126" s="684">
        <v>1154500</v>
      </c>
      <c r="C126" s="684">
        <f t="shared" si="102"/>
        <v>577300</v>
      </c>
      <c r="D126" s="684">
        <v>577300</v>
      </c>
      <c r="E126" s="685">
        <f>'GF 900-ดำเนินงาน'!G224</f>
        <v>190529</v>
      </c>
      <c r="F126" s="684">
        <f t="shared" si="103"/>
        <v>386771</v>
      </c>
      <c r="G126" s="686"/>
      <c r="H126" s="405"/>
      <c r="I126" s="35">
        <f t="shared" si="104"/>
        <v>0</v>
      </c>
      <c r="J126" s="1004">
        <f t="shared" si="105"/>
        <v>190529</v>
      </c>
      <c r="K126" s="41"/>
      <c r="L126" s="41"/>
      <c r="M126" s="55" t="s">
        <v>1196</v>
      </c>
      <c r="N126" s="41"/>
    </row>
    <row r="127" spans="1:18" ht="37.5" x14ac:dyDescent="0.3">
      <c r="A127" s="687" t="s">
        <v>195</v>
      </c>
      <c r="B127" s="688">
        <v>44286300</v>
      </c>
      <c r="C127" s="688">
        <f t="shared" si="102"/>
        <v>30801000</v>
      </c>
      <c r="D127" s="688">
        <v>30801000</v>
      </c>
      <c r="E127" s="1006">
        <f>+'GF 900-ดำเนินงาน'!H224</f>
        <v>842343.21999999986</v>
      </c>
      <c r="F127" s="688">
        <f t="shared" si="103"/>
        <v>29958656.780000001</v>
      </c>
      <c r="G127" s="690"/>
      <c r="H127" s="689"/>
      <c r="I127" s="688">
        <f t="shared" si="104"/>
        <v>0</v>
      </c>
      <c r="J127" s="1007">
        <f t="shared" si="105"/>
        <v>842343.21999999986</v>
      </c>
      <c r="K127" s="41"/>
      <c r="L127" s="41"/>
      <c r="M127" s="55"/>
      <c r="N127" s="41"/>
    </row>
    <row r="128" spans="1:18" ht="21" customHeight="1" x14ac:dyDescent="0.3">
      <c r="A128" s="988" t="s">
        <v>52</v>
      </c>
      <c r="B128" s="989">
        <f>SUM(B129:B134)</f>
        <v>127571000</v>
      </c>
      <c r="C128" s="989">
        <f t="shared" ref="C128" si="106">SUM(C129:C134)</f>
        <v>127571000</v>
      </c>
      <c r="D128" s="989">
        <f>SUM(D129:D133)</f>
        <v>127571000</v>
      </c>
      <c r="E128" s="1003">
        <f t="shared" ref="E128:J128" si="107">SUM(E129:E133)</f>
        <v>127537658</v>
      </c>
      <c r="F128" s="989">
        <f t="shared" ref="F128:G128" si="108">SUM(F129:F134)</f>
        <v>33342</v>
      </c>
      <c r="G128" s="989">
        <f t="shared" si="108"/>
        <v>0</v>
      </c>
      <c r="H128" s="1003">
        <f t="shared" si="107"/>
        <v>0</v>
      </c>
      <c r="I128" s="989">
        <f t="shared" si="107"/>
        <v>0</v>
      </c>
      <c r="J128" s="1003">
        <f t="shared" si="107"/>
        <v>127537658</v>
      </c>
      <c r="K128" s="41"/>
      <c r="L128" s="41"/>
      <c r="M128" s="55"/>
      <c r="N128" s="41"/>
    </row>
    <row r="129" spans="1:14" ht="18.75" x14ac:dyDescent="0.3">
      <c r="A129" s="93" t="s">
        <v>1273</v>
      </c>
      <c r="B129" s="35">
        <v>69000</v>
      </c>
      <c r="C129" s="35">
        <f>SUM(D129+G129)</f>
        <v>69000</v>
      </c>
      <c r="D129" s="35">
        <v>69000</v>
      </c>
      <c r="E129" s="405">
        <f>'GF 900-ลงทุน'!B142</f>
        <v>35658</v>
      </c>
      <c r="F129" s="35">
        <f>SUM(D129-E129)</f>
        <v>33342</v>
      </c>
      <c r="G129" s="146">
        <v>0</v>
      </c>
      <c r="H129" s="405">
        <v>0</v>
      </c>
      <c r="I129" s="35">
        <f>SUM(G129-H129)</f>
        <v>0</v>
      </c>
      <c r="J129" s="405">
        <f>SUM(E129+H129)</f>
        <v>35658</v>
      </c>
      <c r="K129" s="41"/>
      <c r="L129" s="41"/>
      <c r="M129" s="55"/>
      <c r="N129" s="41"/>
    </row>
    <row r="130" spans="1:14" ht="18.75" x14ac:dyDescent="0.3">
      <c r="A130" s="93" t="s">
        <v>1274</v>
      </c>
      <c r="B130" s="35">
        <v>4342000</v>
      </c>
      <c r="C130" s="35">
        <f>SUM(D130+G130)</f>
        <v>4342000</v>
      </c>
      <c r="D130" s="35">
        <v>4342000</v>
      </c>
      <c r="E130" s="405">
        <f>SUM('GF 900-ลงทุน'!C142)</f>
        <v>4342000</v>
      </c>
      <c r="F130" s="35">
        <f>SUM(D130-E130)</f>
        <v>0</v>
      </c>
      <c r="G130" s="146">
        <v>0</v>
      </c>
      <c r="H130" s="405">
        <v>0</v>
      </c>
      <c r="I130" s="35">
        <f>SUM(G130-H130)</f>
        <v>0</v>
      </c>
      <c r="J130" s="405">
        <f>SUM(E130+H130)</f>
        <v>4342000</v>
      </c>
      <c r="K130" s="41"/>
      <c r="L130" s="41"/>
      <c r="M130" s="55"/>
      <c r="N130" s="41"/>
    </row>
    <row r="131" spans="1:14" ht="37.5" x14ac:dyDescent="0.3">
      <c r="A131" s="93" t="s">
        <v>1427</v>
      </c>
      <c r="B131" s="35">
        <v>16500000</v>
      </c>
      <c r="C131" s="35">
        <f>SUM(D131+G131)</f>
        <v>16500000</v>
      </c>
      <c r="D131" s="35">
        <v>16500000</v>
      </c>
      <c r="E131" s="405">
        <f>SUM('GF 900-ลงทุน'!D142)</f>
        <v>16500000</v>
      </c>
      <c r="F131" s="35">
        <f>SUM(D131-E131)</f>
        <v>0</v>
      </c>
      <c r="G131" s="146">
        <v>0</v>
      </c>
      <c r="H131" s="405">
        <v>0</v>
      </c>
      <c r="I131" s="35">
        <f>SUM(G131-H131)</f>
        <v>0</v>
      </c>
      <c r="J131" s="405">
        <f>SUM(E131+H131)</f>
        <v>16500000</v>
      </c>
      <c r="K131" s="41"/>
      <c r="L131" s="41"/>
      <c r="M131" s="55"/>
      <c r="N131" s="41"/>
    </row>
    <row r="132" spans="1:14" ht="37.5" x14ac:dyDescent="0.3">
      <c r="A132" s="93" t="s">
        <v>1428</v>
      </c>
      <c r="B132" s="35">
        <v>25270000</v>
      </c>
      <c r="C132" s="35">
        <f>SUM(D132+G132)</f>
        <v>25270000</v>
      </c>
      <c r="D132" s="35">
        <v>25270000</v>
      </c>
      <c r="E132" s="405">
        <f>SUM('GF 900-ลงทุน'!E142)</f>
        <v>25270000</v>
      </c>
      <c r="F132" s="35">
        <f>SUM(D132-E132)</f>
        <v>0</v>
      </c>
      <c r="G132" s="146">
        <v>0</v>
      </c>
      <c r="H132" s="405">
        <v>0</v>
      </c>
      <c r="I132" s="35">
        <f>SUM(G132-H132)</f>
        <v>0</v>
      </c>
      <c r="J132" s="405">
        <f>SUM(E132+H132)</f>
        <v>25270000</v>
      </c>
      <c r="K132" s="41"/>
      <c r="L132" s="41"/>
      <c r="M132" s="55"/>
      <c r="N132" s="41"/>
    </row>
    <row r="133" spans="1:14" ht="37.5" x14ac:dyDescent="0.3">
      <c r="A133" s="687" t="s">
        <v>1429</v>
      </c>
      <c r="B133" s="688">
        <v>81390000</v>
      </c>
      <c r="C133" s="688">
        <f>SUM(D133+G133)</f>
        <v>81390000</v>
      </c>
      <c r="D133" s="688">
        <v>81390000</v>
      </c>
      <c r="E133" s="689">
        <f>SUM('GF 900-ลงทุน'!F142)</f>
        <v>81390000</v>
      </c>
      <c r="F133" s="688">
        <f>SUM(D133-E133)</f>
        <v>0</v>
      </c>
      <c r="G133" s="690">
        <v>0</v>
      </c>
      <c r="H133" s="410">
        <v>0</v>
      </c>
      <c r="I133" s="48">
        <f>SUM(G133-H133)</f>
        <v>0</v>
      </c>
      <c r="J133" s="410">
        <f>SUM(E133+H133)</f>
        <v>81390000</v>
      </c>
      <c r="K133" s="41"/>
      <c r="L133" s="41"/>
      <c r="M133" s="55"/>
      <c r="N133" s="41"/>
    </row>
    <row r="134" spans="1:14" ht="21" hidden="1" customHeight="1" x14ac:dyDescent="0.3">
      <c r="A134" s="52" t="s">
        <v>196</v>
      </c>
      <c r="B134" s="54">
        <f t="shared" ref="B134:G134" si="109">SUM(B135:B136)</f>
        <v>0</v>
      </c>
      <c r="C134" s="54">
        <f t="shared" si="109"/>
        <v>0</v>
      </c>
      <c r="D134" s="54">
        <f t="shared" si="109"/>
        <v>0</v>
      </c>
      <c r="E134" s="414">
        <f t="shared" si="109"/>
        <v>0</v>
      </c>
      <c r="F134" s="54">
        <f t="shared" si="109"/>
        <v>0</v>
      </c>
      <c r="G134" s="54">
        <f t="shared" si="109"/>
        <v>0</v>
      </c>
      <c r="H134" s="414">
        <v>0</v>
      </c>
      <c r="I134" s="54">
        <f>SUM(I135:I136)</f>
        <v>0</v>
      </c>
      <c r="J134" s="414">
        <f>SUM(J135:J136)</f>
        <v>0</v>
      </c>
      <c r="K134" s="56"/>
      <c r="L134" s="56"/>
      <c r="M134" s="55"/>
      <c r="N134" s="56"/>
    </row>
    <row r="135" spans="1:14" ht="21" hidden="1" customHeight="1" x14ac:dyDescent="0.3">
      <c r="A135" s="123" t="s">
        <v>197</v>
      </c>
      <c r="B135" s="35">
        <v>0</v>
      </c>
      <c r="C135" s="35">
        <f>SUM(D135+G135)</f>
        <v>0</v>
      </c>
      <c r="D135" s="35">
        <f>2900000-2900000</f>
        <v>0</v>
      </c>
      <c r="E135" s="405">
        <v>0</v>
      </c>
      <c r="F135" s="35">
        <f>SUM(D135-E135)</f>
        <v>0</v>
      </c>
      <c r="G135" s="146">
        <v>0</v>
      </c>
      <c r="H135" s="405">
        <v>0</v>
      </c>
      <c r="I135" s="405">
        <v>0</v>
      </c>
      <c r="J135" s="405">
        <f>SUM(E135+H135)</f>
        <v>0</v>
      </c>
    </row>
    <row r="136" spans="1:14" ht="21" hidden="1" customHeight="1" x14ac:dyDescent="0.3">
      <c r="A136" s="123" t="s">
        <v>198</v>
      </c>
      <c r="B136" s="35">
        <v>0</v>
      </c>
      <c r="C136" s="35">
        <f>SUM(D136+G136)</f>
        <v>0</v>
      </c>
      <c r="D136" s="35">
        <f>910600-910600</f>
        <v>0</v>
      </c>
      <c r="E136" s="405">
        <v>0</v>
      </c>
      <c r="F136" s="35">
        <f>SUM(D136-E136)</f>
        <v>0</v>
      </c>
      <c r="G136" s="146">
        <v>0</v>
      </c>
      <c r="H136" s="405">
        <v>0</v>
      </c>
      <c r="I136" s="405">
        <v>0</v>
      </c>
      <c r="J136" s="405">
        <f>SUM(E136+H136)</f>
        <v>0</v>
      </c>
    </row>
    <row r="137" spans="1:14" ht="21" hidden="1" customHeight="1" x14ac:dyDescent="0.3">
      <c r="A137" s="389"/>
      <c r="B137" s="48"/>
      <c r="C137" s="48"/>
      <c r="D137" s="48"/>
      <c r="E137" s="410"/>
      <c r="F137" s="48"/>
      <c r="G137" s="147"/>
      <c r="H137" s="410"/>
      <c r="I137" s="389"/>
      <c r="J137" s="419"/>
    </row>
    <row r="138" spans="1:14" ht="21" customHeight="1" x14ac:dyDescent="0.3">
      <c r="A138" s="41" t="s">
        <v>37</v>
      </c>
      <c r="B138" s="41"/>
      <c r="C138" s="41"/>
      <c r="D138" s="41"/>
      <c r="E138" s="382"/>
      <c r="F138" s="41"/>
      <c r="G138" s="41"/>
      <c r="H138" s="381"/>
      <c r="I138" s="41"/>
      <c r="J138" s="382"/>
    </row>
    <row r="139" spans="1:14" ht="21" customHeight="1" x14ac:dyDescent="0.3">
      <c r="A139" s="41" t="s">
        <v>1187</v>
      </c>
      <c r="B139" s="41"/>
      <c r="C139" s="41"/>
      <c r="D139" s="41"/>
      <c r="E139" s="420"/>
      <c r="F139" s="41"/>
      <c r="G139" s="41"/>
      <c r="H139" s="381"/>
      <c r="I139" s="41"/>
      <c r="J139" s="382"/>
    </row>
  </sheetData>
  <mergeCells count="3">
    <mergeCell ref="A1:J1"/>
    <mergeCell ref="D3:F3"/>
    <mergeCell ref="G3:I3"/>
  </mergeCells>
  <conditionalFormatting sqref="G22:G25 G27:G29 G31:G32">
    <cfRule type="cellIs" dxfId="290" priority="10" operator="lessThan">
      <formula>0</formula>
    </cfRule>
  </conditionalFormatting>
  <conditionalFormatting sqref="B22:C25 B27:C29 B31:C32">
    <cfRule type="cellIs" dxfId="289" priority="16" operator="lessThan">
      <formula>0</formula>
    </cfRule>
  </conditionalFormatting>
  <conditionalFormatting sqref="H27:H29">
    <cfRule type="cellIs" dxfId="288" priority="17" operator="lessThan">
      <formula>0</formula>
    </cfRule>
  </conditionalFormatting>
  <conditionalFormatting sqref="I23:I25 I31:I32">
    <cfRule type="cellIs" dxfId="287" priority="8" operator="lessThan">
      <formula>0</formula>
    </cfRule>
  </conditionalFormatting>
  <conditionalFormatting sqref="G7:G21">
    <cfRule type="cellIs" dxfId="286" priority="9" operator="lessThan">
      <formula>0</formula>
    </cfRule>
  </conditionalFormatting>
  <conditionalFormatting sqref="B3:C9 B12:C21 B10:B11">
    <cfRule type="cellIs" dxfId="285" priority="15" operator="lessThan">
      <formula>0</formula>
    </cfRule>
  </conditionalFormatting>
  <conditionalFormatting sqref="D22:D25 D27:D29 D31:D32">
    <cfRule type="cellIs" dxfId="284" priority="14" operator="lessThan">
      <formula>0</formula>
    </cfRule>
  </conditionalFormatting>
  <conditionalFormatting sqref="D7:D9 D12:D21">
    <cfRule type="cellIs" dxfId="283" priority="13" operator="lessThan">
      <formula>0</formula>
    </cfRule>
  </conditionalFormatting>
  <conditionalFormatting sqref="F24:F25 F27:F29 F31:F32">
    <cfRule type="cellIs" dxfId="282" priority="12" operator="lessThan">
      <formula>0</formula>
    </cfRule>
  </conditionalFormatting>
  <conditionalFormatting sqref="F7:F21">
    <cfRule type="cellIs" dxfId="281" priority="11" operator="lessThan">
      <formula>0</formula>
    </cfRule>
  </conditionalFormatting>
  <conditionalFormatting sqref="I7:I12 I16:I17 I19:I21">
    <cfRule type="cellIs" dxfId="280" priority="7" operator="lessThan">
      <formula>0</formula>
    </cfRule>
  </conditionalFormatting>
  <conditionalFormatting sqref="I13:I15">
    <cfRule type="cellIs" dxfId="279" priority="6" operator="lessThan">
      <formula>0</formula>
    </cfRule>
  </conditionalFormatting>
  <conditionalFormatting sqref="F22">
    <cfRule type="cellIs" dxfId="278" priority="5" operator="lessThan">
      <formula>0</formula>
    </cfRule>
  </conditionalFormatting>
  <conditionalFormatting sqref="I18">
    <cfRule type="cellIs" dxfId="277" priority="4" operator="lessThan">
      <formula>0</formula>
    </cfRule>
  </conditionalFormatting>
  <conditionalFormatting sqref="I22">
    <cfRule type="cellIs" dxfId="276" priority="3" operator="lessThan">
      <formula>0</formula>
    </cfRule>
  </conditionalFormatting>
  <conditionalFormatting sqref="I27:I29">
    <cfRule type="cellIs" dxfId="275" priority="2" operator="lessThan">
      <formula>0</formula>
    </cfRule>
  </conditionalFormatting>
  <conditionalFormatting sqref="F23">
    <cfRule type="cellIs" dxfId="274" priority="1" operator="lessThan">
      <formula>0</formula>
    </cfRule>
  </conditionalFormatting>
  <printOptions horizontalCentered="1"/>
  <pageMargins left="0" right="0" top="0.39370078740157483" bottom="0.19685039370078741" header="0" footer="0"/>
  <pageSetup paperSize="9" scale="62" orientation="landscape" r:id="rId1"/>
  <headerFooter>
    <oddHeader xml:space="preserve">&amp;Rหน้า &amp;P / &amp;N </oddHeader>
  </headerFooter>
  <rowBreaks count="4" manualBreakCount="4">
    <brk id="32" max="9" man="1"/>
    <brk id="62" max="9" man="1"/>
    <brk id="97" max="9" man="1"/>
    <brk id="127" man="1"/>
  </rowBreaks>
  <colBreaks count="1" manualBreakCount="1">
    <brk id="11" man="1"/>
  </col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23"/>
  <sheetViews>
    <sheetView workbookViewId="0">
      <pane ySplit="5" topLeftCell="A29" activePane="bottomLeft" state="frozen"/>
      <selection activeCell="E13" sqref="E13"/>
      <selection pane="bottomLeft" activeCell="B35" sqref="B35:H35"/>
    </sheetView>
  </sheetViews>
  <sheetFormatPr defaultColWidth="14.42578125" defaultRowHeight="15" customHeight="1" x14ac:dyDescent="0.3"/>
  <cols>
    <col min="1" max="1" width="16.85546875" style="137" customWidth="1"/>
    <col min="2" max="2" width="16.42578125" style="137" customWidth="1"/>
    <col min="3" max="3" width="17.42578125" style="137" customWidth="1"/>
    <col min="4" max="8" width="18.85546875" style="137" customWidth="1"/>
    <col min="9" max="9" width="16.85546875" style="137" customWidth="1"/>
    <col min="10" max="10" width="34.85546875" style="137" customWidth="1"/>
    <col min="11" max="18" width="9.140625" style="137" customWidth="1"/>
    <col min="19" max="26" width="8.7109375" style="137" customWidth="1"/>
    <col min="27" max="16384" width="14.42578125" style="137"/>
  </cols>
  <sheetData>
    <row r="1" spans="1:10" ht="18.75" customHeight="1" x14ac:dyDescent="0.3">
      <c r="A1" s="375"/>
      <c r="B1" s="274" t="s">
        <v>199</v>
      </c>
      <c r="C1" s="274"/>
      <c r="D1" s="274"/>
      <c r="E1" s="1226" t="s">
        <v>200</v>
      </c>
      <c r="F1" s="1198"/>
      <c r="G1" s="1198"/>
      <c r="H1" s="1198"/>
      <c r="I1" s="274"/>
      <c r="J1" s="274"/>
    </row>
    <row r="2" spans="1:10" ht="56.25" x14ac:dyDescent="0.3">
      <c r="A2" s="158"/>
      <c r="B2" s="274" t="str">
        <f>'ใบกัน 100'!E2</f>
        <v>เงินเดือน</v>
      </c>
      <c r="C2" s="964" t="str">
        <f>'ใบกัน 100'!F2</f>
        <v>ค่าจ้างประจำ</v>
      </c>
      <c r="D2" s="964" t="str">
        <f>'ใบกัน 100'!G2</f>
        <v>เงินประจำตำแหน่ง</v>
      </c>
      <c r="E2" s="338" t="str">
        <f>'ใบกัน 100'!H2</f>
        <v>เงินค่าตอบแทน
รายเดือน
สำหรับข้าราชการ</v>
      </c>
      <c r="F2" s="338" t="str">
        <f>'ใบกัน 100'!I2</f>
        <v>เงินค่าตอบแทน
เท่ากับ
เงินประจำตำแหน่ง</v>
      </c>
      <c r="G2" s="964" t="str">
        <f>'ใบกัน 100'!J2</f>
        <v>เงิน พ.ต.ก.</v>
      </c>
      <c r="H2" s="964" t="str">
        <f>'ใบกัน 100'!K2</f>
        <v>เงิน พ.พ.ด.</v>
      </c>
      <c r="I2" s="274" t="s">
        <v>208</v>
      </c>
      <c r="J2" s="274"/>
    </row>
    <row r="3" spans="1:10" ht="18.75" customHeight="1" x14ac:dyDescent="0.3">
      <c r="A3" s="266" t="s">
        <v>209</v>
      </c>
      <c r="B3" s="267">
        <v>0</v>
      </c>
      <c r="C3" s="267">
        <v>0</v>
      </c>
      <c r="D3" s="267">
        <v>0</v>
      </c>
      <c r="E3" s="267">
        <v>0</v>
      </c>
      <c r="F3" s="267">
        <v>0</v>
      </c>
      <c r="G3" s="267">
        <v>0</v>
      </c>
      <c r="H3" s="267">
        <v>0</v>
      </c>
      <c r="I3" s="267">
        <f>SUM(B3:H3)</f>
        <v>0</v>
      </c>
      <c r="J3" s="195"/>
    </row>
    <row r="4" spans="1:10" ht="18.75" customHeight="1" x14ac:dyDescent="0.3">
      <c r="A4" s="266" t="s">
        <v>210</v>
      </c>
      <c r="B4" s="267">
        <f>+'ใบกัน 100'!E4</f>
        <v>58450200</v>
      </c>
      <c r="C4" s="267">
        <f>+'ใบกัน 100'!F4</f>
        <v>1450800</v>
      </c>
      <c r="D4" s="267">
        <f>+'ใบกัน 100'!G4</f>
        <v>2157000</v>
      </c>
      <c r="E4" s="267">
        <f>+'ใบกัน 100'!H4</f>
        <v>1386000</v>
      </c>
      <c r="F4" s="267">
        <f>+'ใบกัน 100'!I4</f>
        <v>2136000</v>
      </c>
      <c r="G4" s="267">
        <f>+'ใบกัน 100'!J4</f>
        <v>135000</v>
      </c>
      <c r="H4" s="267">
        <f>+'ใบกัน 100'!K4</f>
        <v>0</v>
      </c>
      <c r="I4" s="267">
        <f>+'ใบกัน 100'!L4</f>
        <v>65715000</v>
      </c>
      <c r="J4" s="195"/>
    </row>
    <row r="5" spans="1:10" ht="18.75" customHeight="1" x14ac:dyDescent="0.3">
      <c r="A5" s="266" t="s">
        <v>211</v>
      </c>
      <c r="B5" s="267"/>
      <c r="C5" s="267"/>
      <c r="D5" s="267"/>
      <c r="E5" s="267"/>
      <c r="F5" s="267"/>
      <c r="G5" s="267"/>
      <c r="H5" s="267"/>
      <c r="I5" s="267"/>
      <c r="J5" s="195"/>
    </row>
    <row r="6" spans="1:10" ht="18.75" customHeight="1" x14ac:dyDescent="0.3">
      <c r="A6" s="277" t="s">
        <v>212</v>
      </c>
      <c r="B6" s="195"/>
      <c r="C6" s="195"/>
      <c r="D6" s="195"/>
      <c r="E6" s="195"/>
      <c r="F6" s="195"/>
      <c r="G6" s="195"/>
      <c r="H6" s="195"/>
      <c r="I6" s="145"/>
      <c r="J6" s="195"/>
    </row>
    <row r="7" spans="1:10" ht="18.75" customHeight="1" x14ac:dyDescent="0.3">
      <c r="A7" s="310">
        <v>243552</v>
      </c>
      <c r="B7" s="195">
        <v>10342965.16</v>
      </c>
      <c r="C7" s="195">
        <v>237860</v>
      </c>
      <c r="D7" s="195">
        <v>453842.36</v>
      </c>
      <c r="E7" s="195">
        <v>231330</v>
      </c>
      <c r="F7" s="195">
        <v>414868.17</v>
      </c>
      <c r="G7" s="195">
        <v>30000</v>
      </c>
      <c r="H7" s="195">
        <v>0</v>
      </c>
      <c r="I7" s="145">
        <f t="shared" ref="I7:I14" si="0">SUM(B7:H7)</f>
        <v>11710865.689999999</v>
      </c>
      <c r="J7" s="195"/>
    </row>
    <row r="8" spans="1:10" ht="18.75" customHeight="1" x14ac:dyDescent="0.3">
      <c r="A8" s="310">
        <v>243552</v>
      </c>
      <c r="B8" s="195"/>
      <c r="C8" s="195"/>
      <c r="D8" s="195"/>
      <c r="E8" s="195"/>
      <c r="F8" s="195"/>
      <c r="G8" s="195"/>
      <c r="H8" s="195"/>
      <c r="I8" s="145">
        <f t="shared" si="0"/>
        <v>0</v>
      </c>
      <c r="J8" s="195"/>
    </row>
    <row r="9" spans="1:10" ht="18.75" customHeight="1" x14ac:dyDescent="0.3">
      <c r="A9" s="310"/>
      <c r="B9" s="195"/>
      <c r="C9" s="195"/>
      <c r="D9" s="195"/>
      <c r="E9" s="195"/>
      <c r="F9" s="195"/>
      <c r="G9" s="195"/>
      <c r="H9" s="195"/>
      <c r="I9" s="145">
        <f t="shared" si="0"/>
        <v>0</v>
      </c>
      <c r="J9" s="195"/>
    </row>
    <row r="10" spans="1:10" ht="18.75" customHeight="1" x14ac:dyDescent="0.3">
      <c r="A10" s="310"/>
      <c r="B10" s="195"/>
      <c r="C10" s="195"/>
      <c r="D10" s="195"/>
      <c r="E10" s="195"/>
      <c r="F10" s="195"/>
      <c r="G10" s="195"/>
      <c r="H10" s="195"/>
      <c r="I10" s="145">
        <f t="shared" si="0"/>
        <v>0</v>
      </c>
      <c r="J10" s="285"/>
    </row>
    <row r="11" spans="1:10" ht="18.75" customHeight="1" x14ac:dyDescent="0.3">
      <c r="A11" s="310"/>
      <c r="B11" s="195"/>
      <c r="C11" s="195"/>
      <c r="D11" s="195"/>
      <c r="E11" s="195"/>
      <c r="F11" s="195"/>
      <c r="G11" s="195"/>
      <c r="H11" s="195"/>
      <c r="I11" s="145">
        <f t="shared" si="0"/>
        <v>0</v>
      </c>
      <c r="J11" s="136"/>
    </row>
    <row r="12" spans="1:10" ht="18.75" customHeight="1" x14ac:dyDescent="0.3">
      <c r="A12" s="377" t="s">
        <v>213</v>
      </c>
      <c r="B12" s="279">
        <f t="shared" ref="B12:H12" si="1">SUM(B6:B11)</f>
        <v>10342965.16</v>
      </c>
      <c r="C12" s="279">
        <f t="shared" si="1"/>
        <v>237860</v>
      </c>
      <c r="D12" s="279">
        <f t="shared" si="1"/>
        <v>453842.36</v>
      </c>
      <c r="E12" s="279">
        <f t="shared" si="1"/>
        <v>231330</v>
      </c>
      <c r="F12" s="279">
        <f t="shared" si="1"/>
        <v>414868.17</v>
      </c>
      <c r="G12" s="279">
        <f t="shared" si="1"/>
        <v>30000</v>
      </c>
      <c r="H12" s="279">
        <f t="shared" si="1"/>
        <v>0</v>
      </c>
      <c r="I12" s="280">
        <f t="shared" si="0"/>
        <v>11710865.689999999</v>
      </c>
      <c r="J12" s="195"/>
    </row>
    <row r="13" spans="1:10" ht="18.75" customHeight="1" x14ac:dyDescent="0.3">
      <c r="A13" s="377" t="s">
        <v>214</v>
      </c>
      <c r="B13" s="279">
        <f t="shared" ref="B13:H13" si="2">SUM(B3+B12)</f>
        <v>10342965.16</v>
      </c>
      <c r="C13" s="279">
        <f t="shared" si="2"/>
        <v>237860</v>
      </c>
      <c r="D13" s="279">
        <f t="shared" si="2"/>
        <v>453842.36</v>
      </c>
      <c r="E13" s="279">
        <f t="shared" si="2"/>
        <v>231330</v>
      </c>
      <c r="F13" s="279">
        <f t="shared" si="2"/>
        <v>414868.17</v>
      </c>
      <c r="G13" s="279">
        <f t="shared" si="2"/>
        <v>30000</v>
      </c>
      <c r="H13" s="279">
        <f t="shared" si="2"/>
        <v>0</v>
      </c>
      <c r="I13" s="280">
        <f t="shared" si="0"/>
        <v>11710865.689999999</v>
      </c>
      <c r="J13" s="195"/>
    </row>
    <row r="14" spans="1:10" ht="18.75" customHeight="1" x14ac:dyDescent="0.3">
      <c r="A14" s="377" t="s">
        <v>215</v>
      </c>
      <c r="B14" s="279">
        <f t="shared" ref="B14:H14" si="3">SUM(B4-B12)</f>
        <v>48107234.840000004</v>
      </c>
      <c r="C14" s="279">
        <f t="shared" si="3"/>
        <v>1212940</v>
      </c>
      <c r="D14" s="279">
        <f t="shared" si="3"/>
        <v>1703157.6400000001</v>
      </c>
      <c r="E14" s="279">
        <f t="shared" si="3"/>
        <v>1154670</v>
      </c>
      <c r="F14" s="279">
        <f t="shared" si="3"/>
        <v>1721131.83</v>
      </c>
      <c r="G14" s="279">
        <f t="shared" si="3"/>
        <v>105000</v>
      </c>
      <c r="H14" s="279">
        <f t="shared" si="3"/>
        <v>0</v>
      </c>
      <c r="I14" s="280">
        <f t="shared" si="0"/>
        <v>54004134.310000002</v>
      </c>
      <c r="J14" s="195"/>
    </row>
    <row r="15" spans="1:10" ht="18.75" customHeight="1" x14ac:dyDescent="0.3">
      <c r="A15" s="277" t="s">
        <v>216</v>
      </c>
      <c r="B15" s="195"/>
      <c r="C15" s="195"/>
      <c r="D15" s="195"/>
      <c r="E15" s="195"/>
      <c r="F15" s="195"/>
      <c r="G15" s="195"/>
      <c r="H15" s="195"/>
      <c r="I15" s="145"/>
      <c r="J15" s="195"/>
    </row>
    <row r="16" spans="1:10" ht="18.75" customHeight="1" x14ac:dyDescent="0.3">
      <c r="A16" s="310">
        <v>243584</v>
      </c>
      <c r="B16" s="195">
        <f>108273.22+10434670-19780.65</f>
        <v>10523162.57</v>
      </c>
      <c r="C16" s="195">
        <v>237860</v>
      </c>
      <c r="D16" s="195">
        <v>356425.8</v>
      </c>
      <c r="E16" s="195">
        <v>227620</v>
      </c>
      <c r="F16" s="195">
        <v>352925.8</v>
      </c>
      <c r="G16" s="195">
        <v>30000</v>
      </c>
      <c r="H16" s="195"/>
      <c r="I16" s="145">
        <f t="shared" ref="I16:I42" si="4">SUM(B16:H16)</f>
        <v>11727994.170000002</v>
      </c>
      <c r="J16" s="195"/>
    </row>
    <row r="17" spans="1:10" ht="18.75" customHeight="1" x14ac:dyDescent="0.3">
      <c r="A17" s="310">
        <v>243584</v>
      </c>
      <c r="B17" s="195"/>
      <c r="C17" s="195"/>
      <c r="D17" s="195"/>
      <c r="E17" s="195"/>
      <c r="F17" s="195"/>
      <c r="G17" s="195"/>
      <c r="H17" s="195"/>
      <c r="I17" s="145">
        <f t="shared" si="4"/>
        <v>0</v>
      </c>
      <c r="J17" s="285"/>
    </row>
    <row r="18" spans="1:10" ht="18.75" customHeight="1" x14ac:dyDescent="0.3">
      <c r="A18" s="310"/>
      <c r="B18" s="195"/>
      <c r="C18" s="195"/>
      <c r="D18" s="195"/>
      <c r="E18" s="195"/>
      <c r="F18" s="195"/>
      <c r="G18" s="195"/>
      <c r="H18" s="195"/>
      <c r="I18" s="145">
        <f t="shared" si="4"/>
        <v>0</v>
      </c>
      <c r="J18" s="285"/>
    </row>
    <row r="19" spans="1:10" ht="18.75" customHeight="1" x14ac:dyDescent="0.3">
      <c r="A19" s="310"/>
      <c r="B19" s="195"/>
      <c r="C19" s="195"/>
      <c r="D19" s="195"/>
      <c r="E19" s="195"/>
      <c r="F19" s="195"/>
      <c r="G19" s="195"/>
      <c r="H19" s="195"/>
      <c r="I19" s="145">
        <f t="shared" si="4"/>
        <v>0</v>
      </c>
      <c r="J19" s="285"/>
    </row>
    <row r="20" spans="1:10" ht="18.75" customHeight="1" x14ac:dyDescent="0.3">
      <c r="A20" s="310"/>
      <c r="B20" s="195"/>
      <c r="C20" s="195"/>
      <c r="D20" s="195"/>
      <c r="E20" s="195"/>
      <c r="F20" s="195"/>
      <c r="G20" s="195"/>
      <c r="H20" s="195"/>
      <c r="I20" s="145">
        <f t="shared" si="4"/>
        <v>0</v>
      </c>
      <c r="J20" s="136"/>
    </row>
    <row r="21" spans="1:10" ht="18.75" customHeight="1" x14ac:dyDescent="0.3">
      <c r="A21" s="377" t="s">
        <v>217</v>
      </c>
      <c r="B21" s="279">
        <f t="shared" ref="B21:H21" si="5">SUM(B15:B20)</f>
        <v>10523162.57</v>
      </c>
      <c r="C21" s="279">
        <f t="shared" si="5"/>
        <v>237860</v>
      </c>
      <c r="D21" s="279">
        <f t="shared" si="5"/>
        <v>356425.8</v>
      </c>
      <c r="E21" s="279">
        <f t="shared" si="5"/>
        <v>227620</v>
      </c>
      <c r="F21" s="279">
        <f t="shared" si="5"/>
        <v>352925.8</v>
      </c>
      <c r="G21" s="279">
        <f t="shared" si="5"/>
        <v>30000</v>
      </c>
      <c r="H21" s="279">
        <f t="shared" si="5"/>
        <v>0</v>
      </c>
      <c r="I21" s="280">
        <f t="shared" si="4"/>
        <v>11727994.170000002</v>
      </c>
      <c r="J21" s="195"/>
    </row>
    <row r="22" spans="1:10" ht="18.75" customHeight="1" x14ac:dyDescent="0.3">
      <c r="A22" s="377" t="s">
        <v>218</v>
      </c>
      <c r="B22" s="279">
        <f t="shared" ref="B22:H22" si="6">SUM(B13+B21)</f>
        <v>20866127.73</v>
      </c>
      <c r="C22" s="279">
        <f t="shared" si="6"/>
        <v>475720</v>
      </c>
      <c r="D22" s="279">
        <f t="shared" si="6"/>
        <v>810268.15999999992</v>
      </c>
      <c r="E22" s="279">
        <f t="shared" si="6"/>
        <v>458950</v>
      </c>
      <c r="F22" s="279">
        <f t="shared" si="6"/>
        <v>767793.97</v>
      </c>
      <c r="G22" s="279">
        <f t="shared" si="6"/>
        <v>60000</v>
      </c>
      <c r="H22" s="279">
        <f t="shared" si="6"/>
        <v>0</v>
      </c>
      <c r="I22" s="280">
        <f t="shared" si="4"/>
        <v>23438859.859999999</v>
      </c>
      <c r="J22" s="195"/>
    </row>
    <row r="23" spans="1:10" ht="18.75" customHeight="1" x14ac:dyDescent="0.3">
      <c r="A23" s="377" t="s">
        <v>219</v>
      </c>
      <c r="B23" s="279">
        <f t="shared" ref="B23:H23" si="7">SUM(B14-B21)</f>
        <v>37584072.270000003</v>
      </c>
      <c r="C23" s="279">
        <f t="shared" si="7"/>
        <v>975080</v>
      </c>
      <c r="D23" s="279">
        <f t="shared" si="7"/>
        <v>1346731.84</v>
      </c>
      <c r="E23" s="279">
        <f t="shared" si="7"/>
        <v>927050</v>
      </c>
      <c r="F23" s="279">
        <f t="shared" si="7"/>
        <v>1368206.03</v>
      </c>
      <c r="G23" s="279">
        <f t="shared" si="7"/>
        <v>75000</v>
      </c>
      <c r="H23" s="279">
        <f t="shared" si="7"/>
        <v>0</v>
      </c>
      <c r="I23" s="280">
        <f t="shared" si="4"/>
        <v>42276140.140000008</v>
      </c>
      <c r="J23" s="195"/>
    </row>
    <row r="24" spans="1:10" ht="18.75" customHeight="1" x14ac:dyDescent="0.3">
      <c r="A24" s="277" t="s">
        <v>220</v>
      </c>
      <c r="B24" s="195"/>
      <c r="C24" s="195"/>
      <c r="D24" s="195"/>
      <c r="E24" s="195"/>
      <c r="F24" s="195"/>
      <c r="G24" s="195"/>
      <c r="H24" s="195"/>
      <c r="I24" s="145">
        <f t="shared" si="4"/>
        <v>0</v>
      </c>
      <c r="J24" s="195"/>
    </row>
    <row r="25" spans="1:10" ht="18.75" customHeight="1" x14ac:dyDescent="0.3">
      <c r="A25" s="310"/>
      <c r="B25" s="979">
        <v>10406965.27</v>
      </c>
      <c r="C25" s="979">
        <v>237860</v>
      </c>
      <c r="D25" s="979">
        <v>356400</v>
      </c>
      <c r="E25" s="979">
        <v>245999.03</v>
      </c>
      <c r="F25" s="979">
        <v>352900</v>
      </c>
      <c r="G25" s="979">
        <v>30000</v>
      </c>
      <c r="H25" s="195"/>
      <c r="I25" s="145">
        <f t="shared" si="4"/>
        <v>11630124.299999999</v>
      </c>
      <c r="J25" s="195"/>
    </row>
    <row r="26" spans="1:10" ht="18.75" customHeight="1" x14ac:dyDescent="0.3">
      <c r="A26" s="310"/>
      <c r="B26" s="195"/>
      <c r="C26" s="195"/>
      <c r="D26" s="195"/>
      <c r="E26" s="195"/>
      <c r="F26" s="195"/>
      <c r="G26" s="195"/>
      <c r="H26" s="195"/>
      <c r="I26" s="145">
        <f t="shared" si="4"/>
        <v>0</v>
      </c>
      <c r="J26" s="285"/>
    </row>
    <row r="27" spans="1:10" ht="18.75" customHeight="1" x14ac:dyDescent="0.3">
      <c r="A27" s="310"/>
      <c r="B27" s="195"/>
      <c r="C27" s="195"/>
      <c r="D27" s="195"/>
      <c r="E27" s="195"/>
      <c r="F27" s="195"/>
      <c r="G27" s="195"/>
      <c r="H27" s="195"/>
      <c r="I27" s="145">
        <f t="shared" si="4"/>
        <v>0</v>
      </c>
      <c r="J27" s="285"/>
    </row>
    <row r="28" spans="1:10" ht="18.75" customHeight="1" x14ac:dyDescent="0.3">
      <c r="A28" s="310"/>
      <c r="B28" s="195"/>
      <c r="C28" s="195"/>
      <c r="D28" s="195"/>
      <c r="E28" s="195"/>
      <c r="F28" s="195"/>
      <c r="G28" s="195"/>
      <c r="H28" s="195"/>
      <c r="I28" s="145">
        <f t="shared" si="4"/>
        <v>0</v>
      </c>
      <c r="J28" s="195"/>
    </row>
    <row r="29" spans="1:10" ht="18.75" customHeight="1" x14ac:dyDescent="0.3">
      <c r="A29" s="310"/>
      <c r="B29" s="195"/>
      <c r="C29" s="195"/>
      <c r="D29" s="195"/>
      <c r="E29" s="195"/>
      <c r="F29" s="195"/>
      <c r="G29" s="195"/>
      <c r="H29" s="195"/>
      <c r="I29" s="145">
        <f t="shared" si="4"/>
        <v>0</v>
      </c>
      <c r="J29" s="285"/>
    </row>
    <row r="30" spans="1:10" ht="18.75" customHeight="1" x14ac:dyDescent="0.3">
      <c r="A30" s="310"/>
      <c r="B30" s="195"/>
      <c r="C30" s="195"/>
      <c r="D30" s="195"/>
      <c r="E30" s="195"/>
      <c r="F30" s="195"/>
      <c r="G30" s="195"/>
      <c r="H30" s="195"/>
      <c r="I30" s="145">
        <f t="shared" si="4"/>
        <v>0</v>
      </c>
      <c r="J30" s="136"/>
    </row>
    <row r="31" spans="1:10" ht="18.75" customHeight="1" x14ac:dyDescent="0.3">
      <c r="A31" s="377" t="s">
        <v>221</v>
      </c>
      <c r="B31" s="279">
        <f t="shared" ref="B31:H31" si="8">SUM(B24:B30)</f>
        <v>10406965.27</v>
      </c>
      <c r="C31" s="279">
        <f t="shared" si="8"/>
        <v>237860</v>
      </c>
      <c r="D31" s="279">
        <f t="shared" si="8"/>
        <v>356400</v>
      </c>
      <c r="E31" s="279">
        <f t="shared" si="8"/>
        <v>245999.03</v>
      </c>
      <c r="F31" s="279">
        <f t="shared" si="8"/>
        <v>352900</v>
      </c>
      <c r="G31" s="279">
        <f t="shared" si="8"/>
        <v>30000</v>
      </c>
      <c r="H31" s="279">
        <f t="shared" si="8"/>
        <v>0</v>
      </c>
      <c r="I31" s="280">
        <f t="shared" si="4"/>
        <v>11630124.299999999</v>
      </c>
      <c r="J31" s="195"/>
    </row>
    <row r="32" spans="1:10" ht="18.75" customHeight="1" x14ac:dyDescent="0.3">
      <c r="A32" s="377" t="s">
        <v>222</v>
      </c>
      <c r="B32" s="279">
        <f t="shared" ref="B32:H32" si="9">SUM(B22+B31)</f>
        <v>31273093</v>
      </c>
      <c r="C32" s="279">
        <f t="shared" si="9"/>
        <v>713580</v>
      </c>
      <c r="D32" s="279">
        <f t="shared" si="9"/>
        <v>1166668.1599999999</v>
      </c>
      <c r="E32" s="279">
        <f t="shared" si="9"/>
        <v>704949.03</v>
      </c>
      <c r="F32" s="279">
        <f t="shared" si="9"/>
        <v>1120693.97</v>
      </c>
      <c r="G32" s="279">
        <f t="shared" si="9"/>
        <v>90000</v>
      </c>
      <c r="H32" s="279">
        <f t="shared" si="9"/>
        <v>0</v>
      </c>
      <c r="I32" s="280">
        <f t="shared" si="4"/>
        <v>35068984.159999996</v>
      </c>
      <c r="J32" s="195"/>
    </row>
    <row r="33" spans="1:10" ht="18.75" customHeight="1" x14ac:dyDescent="0.3">
      <c r="A33" s="377" t="s">
        <v>223</v>
      </c>
      <c r="B33" s="279">
        <f t="shared" ref="B33:H33" si="10">SUM(B23-B31)</f>
        <v>27177107.000000004</v>
      </c>
      <c r="C33" s="279">
        <f t="shared" si="10"/>
        <v>737220</v>
      </c>
      <c r="D33" s="279">
        <f t="shared" si="10"/>
        <v>990331.84000000008</v>
      </c>
      <c r="E33" s="279">
        <f t="shared" si="10"/>
        <v>681050.97</v>
      </c>
      <c r="F33" s="279">
        <f t="shared" si="10"/>
        <v>1015306.03</v>
      </c>
      <c r="G33" s="279">
        <f t="shared" si="10"/>
        <v>45000</v>
      </c>
      <c r="H33" s="279">
        <f t="shared" si="10"/>
        <v>0</v>
      </c>
      <c r="I33" s="280">
        <f t="shared" si="4"/>
        <v>30646015.840000004</v>
      </c>
      <c r="J33" s="195"/>
    </row>
    <row r="34" spans="1:10" ht="18.75" customHeight="1" x14ac:dyDescent="0.3">
      <c r="A34" s="277" t="s">
        <v>224</v>
      </c>
      <c r="B34" s="195"/>
      <c r="C34" s="195"/>
      <c r="D34" s="195"/>
      <c r="E34" s="195"/>
      <c r="F34" s="195"/>
      <c r="G34" s="195"/>
      <c r="H34" s="195"/>
      <c r="I34" s="145">
        <f t="shared" si="4"/>
        <v>0</v>
      </c>
      <c r="J34" s="195"/>
    </row>
    <row r="35" spans="1:10" ht="18.75" customHeight="1" x14ac:dyDescent="0.3">
      <c r="A35" s="310"/>
      <c r="B35" s="195">
        <v>10359051.23</v>
      </c>
      <c r="C35" s="195">
        <v>237860</v>
      </c>
      <c r="D35" s="195">
        <v>356400</v>
      </c>
      <c r="E35" s="195">
        <v>229570</v>
      </c>
      <c r="F35" s="195">
        <v>352900</v>
      </c>
      <c r="G35" s="195">
        <v>30000</v>
      </c>
      <c r="H35" s="195">
        <v>31741.94</v>
      </c>
      <c r="I35" s="145">
        <f>SUM(B35:H35)</f>
        <v>11597523.17</v>
      </c>
      <c r="J35" s="195"/>
    </row>
    <row r="36" spans="1:10" ht="18.75" customHeight="1" x14ac:dyDescent="0.3">
      <c r="A36" s="310"/>
      <c r="B36" s="195"/>
      <c r="C36" s="195"/>
      <c r="D36" s="195"/>
      <c r="E36" s="195"/>
      <c r="F36" s="195"/>
      <c r="G36" s="195"/>
      <c r="H36" s="195"/>
      <c r="I36" s="145">
        <f t="shared" si="4"/>
        <v>0</v>
      </c>
      <c r="J36" s="285"/>
    </row>
    <row r="37" spans="1:10" ht="18.75" customHeight="1" x14ac:dyDescent="0.3">
      <c r="A37" s="310"/>
      <c r="B37" s="195"/>
      <c r="C37" s="195"/>
      <c r="D37" s="195"/>
      <c r="E37" s="195"/>
      <c r="F37" s="195"/>
      <c r="G37" s="195"/>
      <c r="H37" s="195"/>
      <c r="I37" s="145">
        <f t="shared" si="4"/>
        <v>0</v>
      </c>
      <c r="J37" s="195"/>
    </row>
    <row r="38" spans="1:10" ht="18.75" customHeight="1" x14ac:dyDescent="0.3">
      <c r="A38" s="310"/>
      <c r="B38" s="195"/>
      <c r="C38" s="195"/>
      <c r="D38" s="195"/>
      <c r="E38" s="195"/>
      <c r="F38" s="195"/>
      <c r="G38" s="195"/>
      <c r="H38" s="195"/>
      <c r="I38" s="145">
        <f t="shared" si="4"/>
        <v>0</v>
      </c>
      <c r="J38" s="195"/>
    </row>
    <row r="39" spans="1:10" ht="18.75" customHeight="1" x14ac:dyDescent="0.3">
      <c r="A39" s="310"/>
      <c r="B39" s="195"/>
      <c r="C39" s="195"/>
      <c r="D39" s="195"/>
      <c r="E39" s="195"/>
      <c r="F39" s="195"/>
      <c r="G39" s="195"/>
      <c r="H39" s="195"/>
      <c r="I39" s="145">
        <f t="shared" si="4"/>
        <v>0</v>
      </c>
      <c r="J39" s="136"/>
    </row>
    <row r="40" spans="1:10" ht="18.75" customHeight="1" x14ac:dyDescent="0.3">
      <c r="A40" s="377" t="s">
        <v>225</v>
      </c>
      <c r="B40" s="279">
        <f t="shared" ref="B40:H40" si="11">SUM(B34:B39)</f>
        <v>10359051.23</v>
      </c>
      <c r="C40" s="279">
        <f t="shared" si="11"/>
        <v>237860</v>
      </c>
      <c r="D40" s="279">
        <f t="shared" si="11"/>
        <v>356400</v>
      </c>
      <c r="E40" s="279">
        <f t="shared" si="11"/>
        <v>229570</v>
      </c>
      <c r="F40" s="279">
        <f t="shared" si="11"/>
        <v>352900</v>
      </c>
      <c r="G40" s="279">
        <f t="shared" si="11"/>
        <v>30000</v>
      </c>
      <c r="H40" s="279">
        <f t="shared" si="11"/>
        <v>31741.94</v>
      </c>
      <c r="I40" s="280">
        <f t="shared" si="4"/>
        <v>11597523.17</v>
      </c>
      <c r="J40" s="195"/>
    </row>
    <row r="41" spans="1:10" ht="18.75" customHeight="1" x14ac:dyDescent="0.3">
      <c r="A41" s="377" t="s">
        <v>226</v>
      </c>
      <c r="B41" s="279">
        <f>SUM(B32+B40)</f>
        <v>41632144.230000004</v>
      </c>
      <c r="C41" s="279">
        <f t="shared" ref="C41:H41" si="12">SUM(C32+C40)</f>
        <v>951440</v>
      </c>
      <c r="D41" s="279">
        <f t="shared" si="12"/>
        <v>1523068.16</v>
      </c>
      <c r="E41" s="279">
        <f t="shared" si="12"/>
        <v>934519.03</v>
      </c>
      <c r="F41" s="279">
        <f t="shared" si="12"/>
        <v>1473593.97</v>
      </c>
      <c r="G41" s="279">
        <f t="shared" si="12"/>
        <v>120000</v>
      </c>
      <c r="H41" s="279">
        <f t="shared" si="12"/>
        <v>31741.94</v>
      </c>
      <c r="I41" s="280">
        <f>SUM(B41:H41)</f>
        <v>46666507.329999998</v>
      </c>
      <c r="J41" s="195"/>
    </row>
    <row r="42" spans="1:10" ht="18.75" customHeight="1" x14ac:dyDescent="0.3">
      <c r="A42" s="377" t="s">
        <v>227</v>
      </c>
      <c r="B42" s="279">
        <f t="shared" ref="B42:H42" si="13">SUM(B33-B40)</f>
        <v>16818055.770000003</v>
      </c>
      <c r="C42" s="279">
        <f t="shared" si="13"/>
        <v>499360</v>
      </c>
      <c r="D42" s="279">
        <f t="shared" si="13"/>
        <v>633931.84000000008</v>
      </c>
      <c r="E42" s="279">
        <f t="shared" si="13"/>
        <v>451480.97</v>
      </c>
      <c r="F42" s="279">
        <f t="shared" si="13"/>
        <v>662406.03</v>
      </c>
      <c r="G42" s="279">
        <f t="shared" si="13"/>
        <v>15000</v>
      </c>
      <c r="H42" s="279">
        <f t="shared" si="13"/>
        <v>-31741.94</v>
      </c>
      <c r="I42" s="280">
        <f t="shared" si="4"/>
        <v>19048492.670000002</v>
      </c>
      <c r="J42" s="195"/>
    </row>
    <row r="43" spans="1:10" ht="18.75" customHeight="1" x14ac:dyDescent="0.3">
      <c r="A43" s="277" t="s">
        <v>228</v>
      </c>
      <c r="B43" s="195"/>
      <c r="C43" s="195"/>
      <c r="D43" s="195"/>
      <c r="E43" s="195"/>
      <c r="F43" s="195"/>
      <c r="G43" s="195"/>
      <c r="H43" s="195"/>
      <c r="I43" s="145"/>
      <c r="J43" s="195"/>
    </row>
    <row r="44" spans="1:10" ht="18.75" customHeight="1" x14ac:dyDescent="0.3">
      <c r="A44" s="310"/>
      <c r="B44" s="195"/>
      <c r="C44" s="195"/>
      <c r="D44" s="195"/>
      <c r="E44" s="195"/>
      <c r="F44" s="195"/>
      <c r="G44" s="195"/>
      <c r="H44" s="195"/>
      <c r="I44" s="145">
        <f t="shared" ref="I44:I52" si="14">SUM(B44:H44)</f>
        <v>0</v>
      </c>
      <c r="J44" s="195"/>
    </row>
    <row r="45" spans="1:10" ht="18.75" customHeight="1" x14ac:dyDescent="0.3">
      <c r="A45" s="310"/>
      <c r="B45" s="195"/>
      <c r="C45" s="195"/>
      <c r="D45" s="195"/>
      <c r="E45" s="195"/>
      <c r="F45" s="195"/>
      <c r="G45" s="195"/>
      <c r="H45" s="195"/>
      <c r="I45" s="145">
        <f t="shared" si="14"/>
        <v>0</v>
      </c>
      <c r="J45" s="195"/>
    </row>
    <row r="46" spans="1:10" ht="18.75" customHeight="1" x14ac:dyDescent="0.3">
      <c r="A46" s="277"/>
      <c r="B46" s="285"/>
      <c r="C46" s="285"/>
      <c r="D46" s="285"/>
      <c r="E46" s="285"/>
      <c r="F46" s="285"/>
      <c r="G46" s="285"/>
      <c r="H46" s="285"/>
      <c r="I46" s="285">
        <f t="shared" si="14"/>
        <v>0</v>
      </c>
      <c r="J46" s="285"/>
    </row>
    <row r="47" spans="1:10" ht="18.75" customHeight="1" x14ac:dyDescent="0.3">
      <c r="A47" s="310"/>
      <c r="B47" s="195"/>
      <c r="C47" s="195"/>
      <c r="D47" s="195"/>
      <c r="E47" s="195"/>
      <c r="F47" s="195"/>
      <c r="G47" s="195"/>
      <c r="H47" s="195"/>
      <c r="I47" s="145">
        <f t="shared" si="14"/>
        <v>0</v>
      </c>
      <c r="J47" s="195"/>
    </row>
    <row r="48" spans="1:10" ht="18.75" customHeight="1" x14ac:dyDescent="0.3">
      <c r="A48" s="310"/>
      <c r="B48" s="195"/>
      <c r="C48" s="195"/>
      <c r="D48" s="195"/>
      <c r="E48" s="195"/>
      <c r="F48" s="195"/>
      <c r="G48" s="195"/>
      <c r="H48" s="195"/>
      <c r="I48" s="145">
        <f t="shared" si="14"/>
        <v>0</v>
      </c>
      <c r="J48" s="285"/>
    </row>
    <row r="49" spans="1:10" ht="18.75" customHeight="1" x14ac:dyDescent="0.3">
      <c r="A49" s="310"/>
      <c r="B49" s="195"/>
      <c r="C49" s="195"/>
      <c r="D49" s="195"/>
      <c r="E49" s="195"/>
      <c r="F49" s="195"/>
      <c r="G49" s="195"/>
      <c r="H49" s="195"/>
      <c r="I49" s="145">
        <f t="shared" si="14"/>
        <v>0</v>
      </c>
      <c r="J49" s="136"/>
    </row>
    <row r="50" spans="1:10" ht="18.75" customHeight="1" x14ac:dyDescent="0.3">
      <c r="A50" s="377" t="s">
        <v>229</v>
      </c>
      <c r="B50" s="279">
        <f t="shared" ref="B50:H50" si="15">SUM(B43:B49)</f>
        <v>0</v>
      </c>
      <c r="C50" s="279">
        <f t="shared" si="15"/>
        <v>0</v>
      </c>
      <c r="D50" s="279">
        <f t="shared" si="15"/>
        <v>0</v>
      </c>
      <c r="E50" s="279">
        <f t="shared" si="15"/>
        <v>0</v>
      </c>
      <c r="F50" s="279">
        <f t="shared" si="15"/>
        <v>0</v>
      </c>
      <c r="G50" s="279">
        <f t="shared" si="15"/>
        <v>0</v>
      </c>
      <c r="H50" s="279">
        <f t="shared" si="15"/>
        <v>0</v>
      </c>
      <c r="I50" s="280">
        <f t="shared" si="14"/>
        <v>0</v>
      </c>
      <c r="J50" s="195"/>
    </row>
    <row r="51" spans="1:10" ht="18.75" customHeight="1" x14ac:dyDescent="0.3">
      <c r="A51" s="377" t="s">
        <v>230</v>
      </c>
      <c r="B51" s="279">
        <f t="shared" ref="B51:H51" si="16">SUM(B41+B50)</f>
        <v>41632144.230000004</v>
      </c>
      <c r="C51" s="279">
        <f t="shared" si="16"/>
        <v>951440</v>
      </c>
      <c r="D51" s="279">
        <f t="shared" si="16"/>
        <v>1523068.16</v>
      </c>
      <c r="E51" s="279">
        <f t="shared" si="16"/>
        <v>934519.03</v>
      </c>
      <c r="F51" s="279">
        <f t="shared" si="16"/>
        <v>1473593.97</v>
      </c>
      <c r="G51" s="279">
        <f t="shared" si="16"/>
        <v>120000</v>
      </c>
      <c r="H51" s="279">
        <f t="shared" si="16"/>
        <v>31741.94</v>
      </c>
      <c r="I51" s="280">
        <f t="shared" si="14"/>
        <v>46666507.329999998</v>
      </c>
      <c r="J51" s="195"/>
    </row>
    <row r="52" spans="1:10" ht="18.75" customHeight="1" x14ac:dyDescent="0.3">
      <c r="A52" s="377" t="s">
        <v>231</v>
      </c>
      <c r="B52" s="279">
        <f t="shared" ref="B52:H52" si="17">SUM(B42-B50)</f>
        <v>16818055.770000003</v>
      </c>
      <c r="C52" s="279">
        <f t="shared" si="17"/>
        <v>499360</v>
      </c>
      <c r="D52" s="279">
        <f t="shared" si="17"/>
        <v>633931.84000000008</v>
      </c>
      <c r="E52" s="279">
        <f t="shared" si="17"/>
        <v>451480.97</v>
      </c>
      <c r="F52" s="279">
        <f t="shared" si="17"/>
        <v>662406.03</v>
      </c>
      <c r="G52" s="279">
        <f t="shared" si="17"/>
        <v>15000</v>
      </c>
      <c r="H52" s="279">
        <f t="shared" si="17"/>
        <v>-31741.94</v>
      </c>
      <c r="I52" s="280">
        <f t="shared" si="14"/>
        <v>19048492.670000002</v>
      </c>
      <c r="J52" s="195"/>
    </row>
    <row r="53" spans="1:10" ht="18.75" customHeight="1" x14ac:dyDescent="0.3">
      <c r="A53" s="277" t="s">
        <v>232</v>
      </c>
      <c r="B53" s="195"/>
      <c r="C53" s="195"/>
      <c r="D53" s="195"/>
      <c r="E53" s="195"/>
      <c r="F53" s="195"/>
      <c r="G53" s="195"/>
      <c r="H53" s="195"/>
      <c r="I53" s="145"/>
      <c r="J53" s="195"/>
    </row>
    <row r="54" spans="1:10" ht="18.75" customHeight="1" x14ac:dyDescent="0.3">
      <c r="A54" s="310"/>
      <c r="B54" s="195"/>
      <c r="C54" s="195"/>
      <c r="D54" s="195"/>
      <c r="E54" s="195"/>
      <c r="F54" s="195"/>
      <c r="G54" s="195"/>
      <c r="H54" s="195"/>
      <c r="I54" s="145">
        <f t="shared" ref="I54:I61" si="18">SUM(B54:H54)</f>
        <v>0</v>
      </c>
      <c r="J54" s="195"/>
    </row>
    <row r="55" spans="1:10" ht="18.75" customHeight="1" x14ac:dyDescent="0.3">
      <c r="A55" s="310"/>
      <c r="B55" s="195"/>
      <c r="C55" s="195"/>
      <c r="D55" s="195"/>
      <c r="E55" s="195"/>
      <c r="F55" s="195"/>
      <c r="G55" s="195"/>
      <c r="H55" s="195"/>
      <c r="I55" s="145">
        <f t="shared" si="18"/>
        <v>0</v>
      </c>
      <c r="J55" s="285"/>
    </row>
    <row r="56" spans="1:10" ht="18.75" customHeight="1" x14ac:dyDescent="0.3">
      <c r="A56" s="310"/>
      <c r="B56" s="195"/>
      <c r="C56" s="195"/>
      <c r="D56" s="195"/>
      <c r="E56" s="195"/>
      <c r="F56" s="195"/>
      <c r="G56" s="195"/>
      <c r="H56" s="195"/>
      <c r="I56" s="145">
        <f t="shared" si="18"/>
        <v>0</v>
      </c>
      <c r="J56" s="195"/>
    </row>
    <row r="57" spans="1:10" ht="18.75" customHeight="1" x14ac:dyDescent="0.3">
      <c r="A57" s="310"/>
      <c r="B57" s="195"/>
      <c r="C57" s="195"/>
      <c r="D57" s="195"/>
      <c r="E57" s="195"/>
      <c r="F57" s="195"/>
      <c r="G57" s="195"/>
      <c r="H57" s="195"/>
      <c r="I57" s="145">
        <f t="shared" si="18"/>
        <v>0</v>
      </c>
      <c r="J57" s="285"/>
    </row>
    <row r="58" spans="1:10" ht="18.75" customHeight="1" x14ac:dyDescent="0.3">
      <c r="A58" s="310"/>
      <c r="B58" s="195"/>
      <c r="C58" s="195"/>
      <c r="D58" s="195"/>
      <c r="E58" s="195"/>
      <c r="F58" s="195"/>
      <c r="G58" s="195"/>
      <c r="H58" s="195"/>
      <c r="I58" s="145">
        <f t="shared" si="18"/>
        <v>0</v>
      </c>
      <c r="J58" s="136"/>
    </row>
    <row r="59" spans="1:10" ht="18.75" customHeight="1" x14ac:dyDescent="0.3">
      <c r="A59" s="377" t="s">
        <v>233</v>
      </c>
      <c r="B59" s="279">
        <f t="shared" ref="B59:H59" si="19">SUM(B53:B58)</f>
        <v>0</v>
      </c>
      <c r="C59" s="279">
        <f t="shared" si="19"/>
        <v>0</v>
      </c>
      <c r="D59" s="279">
        <f t="shared" si="19"/>
        <v>0</v>
      </c>
      <c r="E59" s="279">
        <f t="shared" si="19"/>
        <v>0</v>
      </c>
      <c r="F59" s="279">
        <f t="shared" si="19"/>
        <v>0</v>
      </c>
      <c r="G59" s="279">
        <f t="shared" si="19"/>
        <v>0</v>
      </c>
      <c r="H59" s="279">
        <f t="shared" si="19"/>
        <v>0</v>
      </c>
      <c r="I59" s="280">
        <f t="shared" si="18"/>
        <v>0</v>
      </c>
      <c r="J59" s="195"/>
    </row>
    <row r="60" spans="1:10" ht="18.75" customHeight="1" x14ac:dyDescent="0.3">
      <c r="A60" s="377" t="s">
        <v>234</v>
      </c>
      <c r="B60" s="279">
        <f t="shared" ref="B60:H60" si="20">SUM(B51+B59)</f>
        <v>41632144.230000004</v>
      </c>
      <c r="C60" s="279">
        <f t="shared" si="20"/>
        <v>951440</v>
      </c>
      <c r="D60" s="279">
        <f t="shared" si="20"/>
        <v>1523068.16</v>
      </c>
      <c r="E60" s="279">
        <f t="shared" si="20"/>
        <v>934519.03</v>
      </c>
      <c r="F60" s="279">
        <f t="shared" si="20"/>
        <v>1473593.97</v>
      </c>
      <c r="G60" s="279">
        <f t="shared" si="20"/>
        <v>120000</v>
      </c>
      <c r="H60" s="279">
        <f t="shared" si="20"/>
        <v>31741.94</v>
      </c>
      <c r="I60" s="280">
        <f t="shared" si="18"/>
        <v>46666507.329999998</v>
      </c>
      <c r="J60" s="195"/>
    </row>
    <row r="61" spans="1:10" ht="18.75" customHeight="1" x14ac:dyDescent="0.3">
      <c r="A61" s="377" t="s">
        <v>235</v>
      </c>
      <c r="B61" s="279">
        <f t="shared" ref="B61:H61" si="21">SUM(B52-B59)</f>
        <v>16818055.770000003</v>
      </c>
      <c r="C61" s="279">
        <f t="shared" si="21"/>
        <v>499360</v>
      </c>
      <c r="D61" s="279">
        <f t="shared" si="21"/>
        <v>633931.84000000008</v>
      </c>
      <c r="E61" s="279">
        <f t="shared" si="21"/>
        <v>451480.97</v>
      </c>
      <c r="F61" s="279">
        <f t="shared" si="21"/>
        <v>662406.03</v>
      </c>
      <c r="G61" s="279">
        <f t="shared" si="21"/>
        <v>15000</v>
      </c>
      <c r="H61" s="279">
        <f t="shared" si="21"/>
        <v>-31741.94</v>
      </c>
      <c r="I61" s="280">
        <f t="shared" si="18"/>
        <v>19048492.670000002</v>
      </c>
      <c r="J61" s="195"/>
    </row>
    <row r="62" spans="1:10" ht="18.75" customHeight="1" x14ac:dyDescent="0.3">
      <c r="A62" s="277" t="s">
        <v>236</v>
      </c>
      <c r="B62" s="195"/>
      <c r="C62" s="195"/>
      <c r="D62" s="195"/>
      <c r="E62" s="195"/>
      <c r="F62" s="195"/>
      <c r="G62" s="195"/>
      <c r="H62" s="195"/>
      <c r="I62" s="145"/>
      <c r="J62" s="195"/>
    </row>
    <row r="63" spans="1:10" ht="18.75" customHeight="1" x14ac:dyDescent="0.3">
      <c r="A63" s="310"/>
      <c r="B63" s="195"/>
      <c r="C63" s="195"/>
      <c r="D63" s="195"/>
      <c r="E63" s="195"/>
      <c r="F63" s="195"/>
      <c r="G63" s="195"/>
      <c r="H63" s="195"/>
      <c r="I63" s="145">
        <f t="shared" ref="I63:I71" si="22">SUM(B63:H63)</f>
        <v>0</v>
      </c>
      <c r="J63" s="195"/>
    </row>
    <row r="64" spans="1:10" ht="18.75" customHeight="1" x14ac:dyDescent="0.3">
      <c r="A64" s="310"/>
      <c r="B64" s="195"/>
      <c r="C64" s="195"/>
      <c r="D64" s="195"/>
      <c r="E64" s="195"/>
      <c r="F64" s="195"/>
      <c r="G64" s="195"/>
      <c r="H64" s="195"/>
      <c r="I64" s="145">
        <f t="shared" si="22"/>
        <v>0</v>
      </c>
      <c r="J64" s="285"/>
    </row>
    <row r="65" spans="1:10" ht="18.75" customHeight="1" x14ac:dyDescent="0.3">
      <c r="A65" s="310"/>
      <c r="B65" s="195"/>
      <c r="C65" s="195"/>
      <c r="D65" s="195"/>
      <c r="E65" s="195"/>
      <c r="F65" s="195"/>
      <c r="G65" s="195"/>
      <c r="H65" s="195"/>
      <c r="I65" s="145">
        <f t="shared" si="22"/>
        <v>0</v>
      </c>
      <c r="J65" s="195"/>
    </row>
    <row r="66" spans="1:10" ht="18.75" customHeight="1" x14ac:dyDescent="0.3">
      <c r="A66" s="310"/>
      <c r="B66" s="195"/>
      <c r="C66" s="195"/>
      <c r="D66" s="195"/>
      <c r="E66" s="195"/>
      <c r="F66" s="195"/>
      <c r="G66" s="195"/>
      <c r="H66" s="195"/>
      <c r="I66" s="145">
        <f t="shared" si="22"/>
        <v>0</v>
      </c>
      <c r="J66" s="285"/>
    </row>
    <row r="67" spans="1:10" ht="18.75" customHeight="1" x14ac:dyDescent="0.3">
      <c r="A67" s="310"/>
      <c r="B67" s="195"/>
      <c r="C67" s="195"/>
      <c r="D67" s="195"/>
      <c r="E67" s="195"/>
      <c r="F67" s="195"/>
      <c r="G67" s="195"/>
      <c r="H67" s="195"/>
      <c r="I67" s="145">
        <f t="shared" si="22"/>
        <v>0</v>
      </c>
      <c r="J67" s="285"/>
    </row>
    <row r="68" spans="1:10" ht="18.75" customHeight="1" x14ac:dyDescent="0.3">
      <c r="A68" s="310"/>
      <c r="B68" s="195"/>
      <c r="C68" s="195"/>
      <c r="D68" s="195"/>
      <c r="E68" s="195"/>
      <c r="F68" s="195"/>
      <c r="G68" s="195"/>
      <c r="H68" s="195"/>
      <c r="I68" s="145">
        <f t="shared" si="22"/>
        <v>0</v>
      </c>
      <c r="J68" s="136"/>
    </row>
    <row r="69" spans="1:10" ht="18.75" customHeight="1" x14ac:dyDescent="0.3">
      <c r="A69" s="377" t="s">
        <v>237</v>
      </c>
      <c r="B69" s="279">
        <f t="shared" ref="B69:H69" si="23">SUM(B62:B68)</f>
        <v>0</v>
      </c>
      <c r="C69" s="279">
        <f t="shared" si="23"/>
        <v>0</v>
      </c>
      <c r="D69" s="279">
        <f t="shared" si="23"/>
        <v>0</v>
      </c>
      <c r="E69" s="279">
        <f t="shared" si="23"/>
        <v>0</v>
      </c>
      <c r="F69" s="279">
        <f t="shared" si="23"/>
        <v>0</v>
      </c>
      <c r="G69" s="279">
        <f t="shared" si="23"/>
        <v>0</v>
      </c>
      <c r="H69" s="279">
        <f t="shared" si="23"/>
        <v>0</v>
      </c>
      <c r="I69" s="280">
        <f t="shared" si="22"/>
        <v>0</v>
      </c>
      <c r="J69" s="195"/>
    </row>
    <row r="70" spans="1:10" ht="18.75" customHeight="1" x14ac:dyDescent="0.3">
      <c r="A70" s="377" t="s">
        <v>238</v>
      </c>
      <c r="B70" s="279">
        <f t="shared" ref="B70:H70" si="24">SUM(B60+B69)</f>
        <v>41632144.230000004</v>
      </c>
      <c r="C70" s="279">
        <f t="shared" si="24"/>
        <v>951440</v>
      </c>
      <c r="D70" s="279">
        <f t="shared" si="24"/>
        <v>1523068.16</v>
      </c>
      <c r="E70" s="279">
        <f t="shared" si="24"/>
        <v>934519.03</v>
      </c>
      <c r="F70" s="279">
        <f t="shared" si="24"/>
        <v>1473593.97</v>
      </c>
      <c r="G70" s="279">
        <f t="shared" si="24"/>
        <v>120000</v>
      </c>
      <c r="H70" s="279">
        <f t="shared" si="24"/>
        <v>31741.94</v>
      </c>
      <c r="I70" s="280">
        <f t="shared" si="22"/>
        <v>46666507.329999998</v>
      </c>
      <c r="J70" s="195"/>
    </row>
    <row r="71" spans="1:10" ht="18.75" customHeight="1" x14ac:dyDescent="0.3">
      <c r="A71" s="377" t="s">
        <v>239</v>
      </c>
      <c r="B71" s="279">
        <f>SUM(B61-B69)+40633700</f>
        <v>57451755.770000003</v>
      </c>
      <c r="C71" s="279">
        <f>SUM(C61-C69)+1188600</f>
        <v>1687960</v>
      </c>
      <c r="D71" s="279">
        <f>SUM(D61-D69)+1779200</f>
        <v>2413131.84</v>
      </c>
      <c r="E71" s="279">
        <f>SUM(E61-E69)+1148000</f>
        <v>1599480.97</v>
      </c>
      <c r="F71" s="279">
        <f>SUM(F61-F69)+1737200</f>
        <v>2399606.0300000003</v>
      </c>
      <c r="G71" s="279">
        <f>SUM(G61-G69)+54000</f>
        <v>69000</v>
      </c>
      <c r="H71" s="279">
        <f>SUM(H61-H69)</f>
        <v>-31741.94</v>
      </c>
      <c r="I71" s="280">
        <f t="shared" si="22"/>
        <v>65589192.670000002</v>
      </c>
      <c r="J71" s="195"/>
    </row>
    <row r="72" spans="1:10" ht="18.75" customHeight="1" x14ac:dyDescent="0.3">
      <c r="A72" s="277" t="s">
        <v>240</v>
      </c>
      <c r="B72" s="195"/>
      <c r="C72" s="195"/>
      <c r="D72" s="195"/>
      <c r="E72" s="195"/>
      <c r="F72" s="195"/>
      <c r="G72" s="195"/>
      <c r="H72" s="195"/>
      <c r="I72" s="145"/>
      <c r="J72" s="195"/>
    </row>
    <row r="73" spans="1:10" ht="18.75" customHeight="1" x14ac:dyDescent="0.3">
      <c r="A73" s="310"/>
      <c r="B73" s="195"/>
      <c r="C73" s="195"/>
      <c r="D73" s="195"/>
      <c r="E73" s="195"/>
      <c r="F73" s="195"/>
      <c r="G73" s="195"/>
      <c r="H73" s="195"/>
      <c r="I73" s="145">
        <f t="shared" ref="I73:I81" si="25">SUM(B73:H73)</f>
        <v>0</v>
      </c>
      <c r="J73" s="195"/>
    </row>
    <row r="74" spans="1:10" ht="18.75" customHeight="1" x14ac:dyDescent="0.3">
      <c r="A74" s="310"/>
      <c r="B74" s="195"/>
      <c r="C74" s="195"/>
      <c r="D74" s="195"/>
      <c r="E74" s="195"/>
      <c r="F74" s="195"/>
      <c r="G74" s="195"/>
      <c r="H74" s="195"/>
      <c r="I74" s="145">
        <f t="shared" si="25"/>
        <v>0</v>
      </c>
      <c r="J74" s="285"/>
    </row>
    <row r="75" spans="1:10" ht="18.75" customHeight="1" x14ac:dyDescent="0.3">
      <c r="A75" s="310"/>
      <c r="B75" s="195"/>
      <c r="C75" s="195"/>
      <c r="D75" s="195"/>
      <c r="E75" s="195"/>
      <c r="F75" s="195"/>
      <c r="G75" s="195"/>
      <c r="H75" s="195"/>
      <c r="I75" s="145">
        <f t="shared" si="25"/>
        <v>0</v>
      </c>
      <c r="J75" s="285"/>
    </row>
    <row r="76" spans="1:10" ht="18.75" customHeight="1" x14ac:dyDescent="0.3">
      <c r="A76" s="310"/>
      <c r="B76" s="195"/>
      <c r="C76" s="195"/>
      <c r="D76" s="195"/>
      <c r="E76" s="195"/>
      <c r="F76" s="195"/>
      <c r="G76" s="195"/>
      <c r="H76" s="195"/>
      <c r="I76" s="145">
        <f t="shared" si="25"/>
        <v>0</v>
      </c>
      <c r="J76" s="195"/>
    </row>
    <row r="77" spans="1:10" ht="18.75" customHeight="1" x14ac:dyDescent="0.3">
      <c r="A77" s="310"/>
      <c r="B77" s="195"/>
      <c r="C77" s="195"/>
      <c r="D77" s="195"/>
      <c r="E77" s="195"/>
      <c r="F77" s="195"/>
      <c r="G77" s="195"/>
      <c r="H77" s="195"/>
      <c r="I77" s="145">
        <f t="shared" si="25"/>
        <v>0</v>
      </c>
      <c r="J77" s="285"/>
    </row>
    <row r="78" spans="1:10" ht="18.75" customHeight="1" x14ac:dyDescent="0.3">
      <c r="A78" s="310"/>
      <c r="B78" s="195"/>
      <c r="C78" s="195"/>
      <c r="D78" s="195"/>
      <c r="E78" s="195"/>
      <c r="F78" s="195"/>
      <c r="G78" s="195"/>
      <c r="H78" s="195"/>
      <c r="I78" s="145">
        <f t="shared" si="25"/>
        <v>0</v>
      </c>
      <c r="J78" s="136"/>
    </row>
    <row r="79" spans="1:10" ht="18.75" customHeight="1" x14ac:dyDescent="0.3">
      <c r="A79" s="377" t="s">
        <v>241</v>
      </c>
      <c r="B79" s="279">
        <f t="shared" ref="B79:H79" si="26">SUM(B72:B78)</f>
        <v>0</v>
      </c>
      <c r="C79" s="279">
        <f t="shared" si="26"/>
        <v>0</v>
      </c>
      <c r="D79" s="279">
        <f t="shared" si="26"/>
        <v>0</v>
      </c>
      <c r="E79" s="279">
        <f t="shared" si="26"/>
        <v>0</v>
      </c>
      <c r="F79" s="279">
        <f t="shared" si="26"/>
        <v>0</v>
      </c>
      <c r="G79" s="279">
        <f t="shared" si="26"/>
        <v>0</v>
      </c>
      <c r="H79" s="279">
        <f t="shared" si="26"/>
        <v>0</v>
      </c>
      <c r="I79" s="280">
        <f t="shared" si="25"/>
        <v>0</v>
      </c>
      <c r="J79" s="195"/>
    </row>
    <row r="80" spans="1:10" ht="18.75" customHeight="1" x14ac:dyDescent="0.3">
      <c r="A80" s="377" t="s">
        <v>242</v>
      </c>
      <c r="B80" s="279">
        <f t="shared" ref="B80:H80" si="27">SUM(B70+B79)</f>
        <v>41632144.230000004</v>
      </c>
      <c r="C80" s="279">
        <f t="shared" si="27"/>
        <v>951440</v>
      </c>
      <c r="D80" s="279">
        <f t="shared" si="27"/>
        <v>1523068.16</v>
      </c>
      <c r="E80" s="279">
        <f t="shared" si="27"/>
        <v>934519.03</v>
      </c>
      <c r="F80" s="279">
        <f t="shared" si="27"/>
        <v>1473593.97</v>
      </c>
      <c r="G80" s="279">
        <f t="shared" si="27"/>
        <v>120000</v>
      </c>
      <c r="H80" s="279">
        <f t="shared" si="27"/>
        <v>31741.94</v>
      </c>
      <c r="I80" s="280">
        <f t="shared" si="25"/>
        <v>46666507.329999998</v>
      </c>
      <c r="J80" s="195"/>
    </row>
    <row r="81" spans="1:10" ht="18.75" customHeight="1" x14ac:dyDescent="0.3">
      <c r="A81" s="377" t="s">
        <v>243</v>
      </c>
      <c r="B81" s="279">
        <f t="shared" ref="B81:H81" si="28">SUM(B71-B79)</f>
        <v>57451755.770000003</v>
      </c>
      <c r="C81" s="279">
        <f t="shared" si="28"/>
        <v>1687960</v>
      </c>
      <c r="D81" s="279">
        <f t="shared" si="28"/>
        <v>2413131.84</v>
      </c>
      <c r="E81" s="279">
        <f t="shared" si="28"/>
        <v>1599480.97</v>
      </c>
      <c r="F81" s="279">
        <f t="shared" si="28"/>
        <v>2399606.0300000003</v>
      </c>
      <c r="G81" s="279">
        <f t="shared" si="28"/>
        <v>69000</v>
      </c>
      <c r="H81" s="279">
        <f t="shared" si="28"/>
        <v>-31741.94</v>
      </c>
      <c r="I81" s="280">
        <f t="shared" si="25"/>
        <v>65589192.670000002</v>
      </c>
      <c r="J81" s="195"/>
    </row>
    <row r="82" spans="1:10" ht="18.75" customHeight="1" x14ac:dyDescent="0.3">
      <c r="A82" s="277" t="s">
        <v>244</v>
      </c>
      <c r="B82" s="195"/>
      <c r="C82" s="195"/>
      <c r="D82" s="195"/>
      <c r="E82" s="195"/>
      <c r="F82" s="195"/>
      <c r="G82" s="195"/>
      <c r="H82" s="195"/>
      <c r="I82" s="145"/>
      <c r="J82" s="195"/>
    </row>
    <row r="83" spans="1:10" ht="18.75" customHeight="1" x14ac:dyDescent="0.3">
      <c r="A83" s="310"/>
      <c r="B83" s="195"/>
      <c r="C83" s="195"/>
      <c r="D83" s="195"/>
      <c r="E83" s="195"/>
      <c r="F83" s="195"/>
      <c r="G83" s="195"/>
      <c r="H83" s="195"/>
      <c r="I83" s="145">
        <f t="shared" ref="I83:I91" si="29">SUM(B83:H83)</f>
        <v>0</v>
      </c>
      <c r="J83" s="195"/>
    </row>
    <row r="84" spans="1:10" ht="18.75" customHeight="1" x14ac:dyDescent="0.3">
      <c r="A84" s="310"/>
      <c r="B84" s="195"/>
      <c r="C84" s="195"/>
      <c r="D84" s="195"/>
      <c r="E84" s="195"/>
      <c r="F84" s="195"/>
      <c r="G84" s="195"/>
      <c r="H84" s="195"/>
      <c r="I84" s="145">
        <f t="shared" si="29"/>
        <v>0</v>
      </c>
      <c r="J84" s="285"/>
    </row>
    <row r="85" spans="1:10" ht="18.75" customHeight="1" x14ac:dyDescent="0.3">
      <c r="A85" s="310"/>
      <c r="B85" s="195"/>
      <c r="C85" s="195"/>
      <c r="D85" s="195"/>
      <c r="E85" s="195"/>
      <c r="F85" s="195"/>
      <c r="G85" s="195"/>
      <c r="H85" s="195"/>
      <c r="I85" s="145">
        <f t="shared" si="29"/>
        <v>0</v>
      </c>
      <c r="J85" s="378"/>
    </row>
    <row r="86" spans="1:10" ht="18.75" customHeight="1" x14ac:dyDescent="0.3">
      <c r="A86" s="310"/>
      <c r="B86" s="195"/>
      <c r="C86" s="195"/>
      <c r="D86" s="195"/>
      <c r="E86" s="195"/>
      <c r="F86" s="195"/>
      <c r="G86" s="195"/>
      <c r="H86" s="195"/>
      <c r="I86" s="145">
        <f t="shared" si="29"/>
        <v>0</v>
      </c>
      <c r="J86" s="195"/>
    </row>
    <row r="87" spans="1:10" ht="18.75" customHeight="1" x14ac:dyDescent="0.3">
      <c r="A87" s="310"/>
      <c r="B87" s="195"/>
      <c r="C87" s="195"/>
      <c r="D87" s="195"/>
      <c r="E87" s="195"/>
      <c r="F87" s="195"/>
      <c r="G87" s="195"/>
      <c r="H87" s="195"/>
      <c r="I87" s="145">
        <f t="shared" si="29"/>
        <v>0</v>
      </c>
      <c r="J87" s="285"/>
    </row>
    <row r="88" spans="1:10" ht="18.75" customHeight="1" x14ac:dyDescent="0.3">
      <c r="A88" s="310"/>
      <c r="B88" s="195"/>
      <c r="C88" s="195"/>
      <c r="D88" s="195"/>
      <c r="E88" s="195"/>
      <c r="F88" s="195"/>
      <c r="G88" s="195"/>
      <c r="H88" s="195"/>
      <c r="I88" s="145">
        <f t="shared" si="29"/>
        <v>0</v>
      </c>
      <c r="J88" s="136"/>
    </row>
    <row r="89" spans="1:10" ht="18.75" customHeight="1" x14ac:dyDescent="0.3">
      <c r="A89" s="377" t="s">
        <v>245</v>
      </c>
      <c r="B89" s="279">
        <f t="shared" ref="B89:H89" si="30">SUM(B82:B88)</f>
        <v>0</v>
      </c>
      <c r="C89" s="279">
        <f t="shared" si="30"/>
        <v>0</v>
      </c>
      <c r="D89" s="279">
        <f t="shared" si="30"/>
        <v>0</v>
      </c>
      <c r="E89" s="279">
        <f t="shared" si="30"/>
        <v>0</v>
      </c>
      <c r="F89" s="279">
        <f t="shared" si="30"/>
        <v>0</v>
      </c>
      <c r="G89" s="279">
        <f t="shared" si="30"/>
        <v>0</v>
      </c>
      <c r="H89" s="279">
        <f t="shared" si="30"/>
        <v>0</v>
      </c>
      <c r="I89" s="280">
        <f t="shared" si="29"/>
        <v>0</v>
      </c>
      <c r="J89" s="195"/>
    </row>
    <row r="90" spans="1:10" ht="18.75" customHeight="1" x14ac:dyDescent="0.3">
      <c r="A90" s="377" t="s">
        <v>246</v>
      </c>
      <c r="B90" s="279">
        <f t="shared" ref="B90:H90" si="31">SUM(B80+B89)</f>
        <v>41632144.230000004</v>
      </c>
      <c r="C90" s="279">
        <f t="shared" si="31"/>
        <v>951440</v>
      </c>
      <c r="D90" s="279">
        <f t="shared" si="31"/>
        <v>1523068.16</v>
      </c>
      <c r="E90" s="279">
        <f t="shared" si="31"/>
        <v>934519.03</v>
      </c>
      <c r="F90" s="279">
        <f t="shared" si="31"/>
        <v>1473593.97</v>
      </c>
      <c r="G90" s="279">
        <f t="shared" si="31"/>
        <v>120000</v>
      </c>
      <c r="H90" s="279">
        <f t="shared" si="31"/>
        <v>31741.94</v>
      </c>
      <c r="I90" s="280">
        <f t="shared" si="29"/>
        <v>46666507.329999998</v>
      </c>
      <c r="J90" s="195"/>
    </row>
    <row r="91" spans="1:10" ht="18.75" customHeight="1" x14ac:dyDescent="0.3">
      <c r="A91" s="377" t="s">
        <v>247</v>
      </c>
      <c r="B91" s="279">
        <f t="shared" ref="B91:H91" si="32">SUM(B81-B89)</f>
        <v>57451755.770000003</v>
      </c>
      <c r="C91" s="279">
        <f t="shared" si="32"/>
        <v>1687960</v>
      </c>
      <c r="D91" s="279">
        <f t="shared" si="32"/>
        <v>2413131.84</v>
      </c>
      <c r="E91" s="279">
        <f t="shared" si="32"/>
        <v>1599480.97</v>
      </c>
      <c r="F91" s="279">
        <f t="shared" si="32"/>
        <v>2399606.0300000003</v>
      </c>
      <c r="G91" s="279">
        <f t="shared" si="32"/>
        <v>69000</v>
      </c>
      <c r="H91" s="279">
        <f t="shared" si="32"/>
        <v>-31741.94</v>
      </c>
      <c r="I91" s="280">
        <f t="shared" si="29"/>
        <v>65589192.670000002</v>
      </c>
      <c r="J91" s="195"/>
    </row>
    <row r="92" spans="1:10" ht="18.75" customHeight="1" x14ac:dyDescent="0.3">
      <c r="A92" s="277" t="s">
        <v>248</v>
      </c>
      <c r="B92" s="195"/>
      <c r="C92" s="195"/>
      <c r="D92" s="195"/>
      <c r="E92" s="195"/>
      <c r="F92" s="195"/>
      <c r="G92" s="195"/>
      <c r="H92" s="195"/>
      <c r="I92" s="145"/>
      <c r="J92" s="195"/>
    </row>
    <row r="93" spans="1:10" ht="18.75" customHeight="1" x14ac:dyDescent="0.3">
      <c r="A93" s="310"/>
      <c r="B93" s="195"/>
      <c r="C93" s="195"/>
      <c r="D93" s="195"/>
      <c r="E93" s="195"/>
      <c r="F93" s="195"/>
      <c r="G93" s="195"/>
      <c r="H93" s="195"/>
      <c r="I93" s="145">
        <f t="shared" ref="I93:I101" si="33">SUM(B93:H93)</f>
        <v>0</v>
      </c>
      <c r="J93" s="195"/>
    </row>
    <row r="94" spans="1:10" ht="18.75" customHeight="1" x14ac:dyDescent="0.3">
      <c r="A94" s="310"/>
      <c r="B94" s="195"/>
      <c r="C94" s="195"/>
      <c r="D94" s="195"/>
      <c r="E94" s="195"/>
      <c r="F94" s="195"/>
      <c r="G94" s="195"/>
      <c r="H94" s="195"/>
      <c r="I94" s="145">
        <f t="shared" si="33"/>
        <v>0</v>
      </c>
      <c r="J94" s="285"/>
    </row>
    <row r="95" spans="1:10" ht="18.75" customHeight="1" x14ac:dyDescent="0.3">
      <c r="A95" s="310"/>
      <c r="B95" s="195"/>
      <c r="C95" s="195"/>
      <c r="D95" s="195"/>
      <c r="E95" s="195"/>
      <c r="F95" s="195"/>
      <c r="G95" s="195"/>
      <c r="H95" s="195"/>
      <c r="I95" s="145">
        <f t="shared" si="33"/>
        <v>0</v>
      </c>
      <c r="J95" s="285"/>
    </row>
    <row r="96" spans="1:10" ht="18.75" customHeight="1" x14ac:dyDescent="0.3">
      <c r="A96" s="310"/>
      <c r="B96" s="195"/>
      <c r="C96" s="195"/>
      <c r="D96" s="195"/>
      <c r="E96" s="195"/>
      <c r="F96" s="195"/>
      <c r="G96" s="195"/>
      <c r="H96" s="195"/>
      <c r="I96" s="145">
        <f t="shared" si="33"/>
        <v>0</v>
      </c>
      <c r="J96" s="195"/>
    </row>
    <row r="97" spans="1:10" ht="18.75" customHeight="1" x14ac:dyDescent="0.3">
      <c r="A97" s="310"/>
      <c r="B97" s="195"/>
      <c r="C97" s="195"/>
      <c r="D97" s="195"/>
      <c r="E97" s="195"/>
      <c r="F97" s="195"/>
      <c r="G97" s="195"/>
      <c r="H97" s="195"/>
      <c r="I97" s="145">
        <f t="shared" si="33"/>
        <v>0</v>
      </c>
      <c r="J97" s="285"/>
    </row>
    <row r="98" spans="1:10" ht="18.75" customHeight="1" x14ac:dyDescent="0.3">
      <c r="A98" s="310"/>
      <c r="B98" s="195"/>
      <c r="C98" s="195"/>
      <c r="D98" s="195"/>
      <c r="E98" s="195"/>
      <c r="F98" s="195"/>
      <c r="G98" s="195"/>
      <c r="H98" s="195"/>
      <c r="I98" s="145">
        <f t="shared" si="33"/>
        <v>0</v>
      </c>
      <c r="J98" s="285"/>
    </row>
    <row r="99" spans="1:10" ht="18.75" customHeight="1" x14ac:dyDescent="0.3">
      <c r="A99" s="377" t="s">
        <v>249</v>
      </c>
      <c r="B99" s="279">
        <f t="shared" ref="B99:H99" si="34">SUM(B93:B98)</f>
        <v>0</v>
      </c>
      <c r="C99" s="279">
        <f t="shared" si="34"/>
        <v>0</v>
      </c>
      <c r="D99" s="279">
        <f t="shared" si="34"/>
        <v>0</v>
      </c>
      <c r="E99" s="279">
        <f t="shared" si="34"/>
        <v>0</v>
      </c>
      <c r="F99" s="279">
        <f t="shared" si="34"/>
        <v>0</v>
      </c>
      <c r="G99" s="279">
        <f t="shared" si="34"/>
        <v>0</v>
      </c>
      <c r="H99" s="279">
        <f t="shared" si="34"/>
        <v>0</v>
      </c>
      <c r="I99" s="280">
        <f t="shared" si="33"/>
        <v>0</v>
      </c>
      <c r="J99" s="195"/>
    </row>
    <row r="100" spans="1:10" ht="18.75" customHeight="1" x14ac:dyDescent="0.3">
      <c r="A100" s="377" t="s">
        <v>250</v>
      </c>
      <c r="B100" s="279">
        <f t="shared" ref="B100:H100" si="35">SUM(B90+B99)</f>
        <v>41632144.230000004</v>
      </c>
      <c r="C100" s="279">
        <f t="shared" si="35"/>
        <v>951440</v>
      </c>
      <c r="D100" s="279">
        <f t="shared" si="35"/>
        <v>1523068.16</v>
      </c>
      <c r="E100" s="279">
        <f t="shared" si="35"/>
        <v>934519.03</v>
      </c>
      <c r="F100" s="279">
        <f t="shared" si="35"/>
        <v>1473593.97</v>
      </c>
      <c r="G100" s="279">
        <f t="shared" si="35"/>
        <v>120000</v>
      </c>
      <c r="H100" s="279">
        <f t="shared" si="35"/>
        <v>31741.94</v>
      </c>
      <c r="I100" s="280">
        <f t="shared" si="33"/>
        <v>46666507.329999998</v>
      </c>
      <c r="J100" s="195"/>
    </row>
    <row r="101" spans="1:10" ht="18.75" customHeight="1" x14ac:dyDescent="0.3">
      <c r="A101" s="377" t="s">
        <v>251</v>
      </c>
      <c r="B101" s="279">
        <f t="shared" ref="B101:H101" si="36">SUM(B91-B99)</f>
        <v>57451755.770000003</v>
      </c>
      <c r="C101" s="279">
        <f t="shared" si="36"/>
        <v>1687960</v>
      </c>
      <c r="D101" s="279">
        <f t="shared" si="36"/>
        <v>2413131.84</v>
      </c>
      <c r="E101" s="279">
        <f t="shared" si="36"/>
        <v>1599480.97</v>
      </c>
      <c r="F101" s="279">
        <f t="shared" si="36"/>
        <v>2399606.0300000003</v>
      </c>
      <c r="G101" s="279">
        <f t="shared" si="36"/>
        <v>69000</v>
      </c>
      <c r="H101" s="279">
        <f t="shared" si="36"/>
        <v>-31741.94</v>
      </c>
      <c r="I101" s="280">
        <f t="shared" si="33"/>
        <v>65589192.670000002</v>
      </c>
      <c r="J101" s="195"/>
    </row>
    <row r="102" spans="1:10" ht="18.75" customHeight="1" x14ac:dyDescent="0.3">
      <c r="A102" s="277" t="s">
        <v>252</v>
      </c>
      <c r="B102" s="195"/>
      <c r="C102" s="195"/>
      <c r="D102" s="195"/>
      <c r="E102" s="195"/>
      <c r="F102" s="195"/>
      <c r="G102" s="195"/>
      <c r="H102" s="195"/>
      <c r="I102" s="145"/>
      <c r="J102" s="195"/>
    </row>
    <row r="103" spans="1:10" ht="18.75" customHeight="1" x14ac:dyDescent="0.3">
      <c r="A103" s="310"/>
      <c r="B103" s="195"/>
      <c r="C103" s="195"/>
      <c r="D103" s="195"/>
      <c r="E103" s="195"/>
      <c r="F103" s="195"/>
      <c r="G103" s="195"/>
      <c r="H103" s="195"/>
      <c r="I103" s="145">
        <f t="shared" ref="I103:I111" si="37">SUM(B103:H103)</f>
        <v>0</v>
      </c>
      <c r="J103" s="195"/>
    </row>
    <row r="104" spans="1:10" ht="18.75" customHeight="1" x14ac:dyDescent="0.3">
      <c r="A104" s="310"/>
      <c r="B104" s="195"/>
      <c r="C104" s="195"/>
      <c r="D104" s="195"/>
      <c r="E104" s="195"/>
      <c r="F104" s="195"/>
      <c r="G104" s="195"/>
      <c r="H104" s="195"/>
      <c r="I104" s="145">
        <f t="shared" si="37"/>
        <v>0</v>
      </c>
      <c r="J104" s="285"/>
    </row>
    <row r="105" spans="1:10" ht="18.75" customHeight="1" x14ac:dyDescent="0.3">
      <c r="A105" s="310"/>
      <c r="B105" s="195"/>
      <c r="C105" s="195"/>
      <c r="D105" s="195"/>
      <c r="E105" s="195"/>
      <c r="F105" s="195"/>
      <c r="G105" s="195"/>
      <c r="H105" s="195"/>
      <c r="I105" s="145">
        <f t="shared" si="37"/>
        <v>0</v>
      </c>
      <c r="J105" s="285"/>
    </row>
    <row r="106" spans="1:10" ht="18.75" customHeight="1" x14ac:dyDescent="0.3">
      <c r="A106" s="310"/>
      <c r="B106" s="195"/>
      <c r="C106" s="195"/>
      <c r="D106" s="195"/>
      <c r="E106" s="195"/>
      <c r="F106" s="195"/>
      <c r="G106" s="195"/>
      <c r="H106" s="195"/>
      <c r="I106" s="145">
        <f t="shared" si="37"/>
        <v>0</v>
      </c>
      <c r="J106" s="285"/>
    </row>
    <row r="107" spans="1:10" ht="18.75" customHeight="1" x14ac:dyDescent="0.3">
      <c r="A107" s="310"/>
      <c r="B107" s="195"/>
      <c r="C107" s="195"/>
      <c r="D107" s="195"/>
      <c r="E107" s="195"/>
      <c r="F107" s="195"/>
      <c r="G107" s="195"/>
      <c r="H107" s="195"/>
      <c r="I107" s="145">
        <f t="shared" si="37"/>
        <v>0</v>
      </c>
      <c r="J107" s="195"/>
    </row>
    <row r="108" spans="1:10" ht="18.75" customHeight="1" x14ac:dyDescent="0.3">
      <c r="A108" s="310"/>
      <c r="B108" s="195"/>
      <c r="C108" s="195"/>
      <c r="D108" s="195"/>
      <c r="E108" s="195"/>
      <c r="F108" s="195"/>
      <c r="G108" s="195"/>
      <c r="H108" s="195"/>
      <c r="I108" s="145">
        <f t="shared" si="37"/>
        <v>0</v>
      </c>
      <c r="J108" s="285"/>
    </row>
    <row r="109" spans="1:10" ht="18.75" customHeight="1" x14ac:dyDescent="0.3">
      <c r="A109" s="377" t="s">
        <v>253</v>
      </c>
      <c r="B109" s="279">
        <f t="shared" ref="B109:H109" si="38">SUM(B102:B108)</f>
        <v>0</v>
      </c>
      <c r="C109" s="279">
        <f t="shared" si="38"/>
        <v>0</v>
      </c>
      <c r="D109" s="279">
        <f t="shared" si="38"/>
        <v>0</v>
      </c>
      <c r="E109" s="279">
        <f t="shared" si="38"/>
        <v>0</v>
      </c>
      <c r="F109" s="279">
        <f t="shared" si="38"/>
        <v>0</v>
      </c>
      <c r="G109" s="279">
        <f t="shared" si="38"/>
        <v>0</v>
      </c>
      <c r="H109" s="279">
        <f t="shared" si="38"/>
        <v>0</v>
      </c>
      <c r="I109" s="280">
        <f t="shared" si="37"/>
        <v>0</v>
      </c>
      <c r="J109" s="195"/>
    </row>
    <row r="110" spans="1:10" ht="18.75" customHeight="1" x14ac:dyDescent="0.3">
      <c r="A110" s="377" t="s">
        <v>254</v>
      </c>
      <c r="B110" s="279">
        <f t="shared" ref="B110:H110" si="39">SUM(B100+B109)</f>
        <v>41632144.230000004</v>
      </c>
      <c r="C110" s="279">
        <f t="shared" si="39"/>
        <v>951440</v>
      </c>
      <c r="D110" s="279">
        <f t="shared" si="39"/>
        <v>1523068.16</v>
      </c>
      <c r="E110" s="279">
        <f t="shared" si="39"/>
        <v>934519.03</v>
      </c>
      <c r="F110" s="279">
        <f t="shared" si="39"/>
        <v>1473593.97</v>
      </c>
      <c r="G110" s="279">
        <f t="shared" si="39"/>
        <v>120000</v>
      </c>
      <c r="H110" s="279">
        <f t="shared" si="39"/>
        <v>31741.94</v>
      </c>
      <c r="I110" s="280">
        <f t="shared" si="37"/>
        <v>46666507.329999998</v>
      </c>
      <c r="J110" s="195"/>
    </row>
    <row r="111" spans="1:10" ht="18.75" customHeight="1" x14ac:dyDescent="0.3">
      <c r="A111" s="377" t="s">
        <v>255</v>
      </c>
      <c r="B111" s="279">
        <f t="shared" ref="B111:H111" si="40">SUM(B101-B109)</f>
        <v>57451755.770000003</v>
      </c>
      <c r="C111" s="279">
        <f t="shared" si="40"/>
        <v>1687960</v>
      </c>
      <c r="D111" s="279">
        <f t="shared" si="40"/>
        <v>2413131.84</v>
      </c>
      <c r="E111" s="279">
        <f t="shared" si="40"/>
        <v>1599480.97</v>
      </c>
      <c r="F111" s="279">
        <f t="shared" si="40"/>
        <v>2399606.0300000003</v>
      </c>
      <c r="G111" s="279">
        <f t="shared" si="40"/>
        <v>69000</v>
      </c>
      <c r="H111" s="279">
        <f t="shared" si="40"/>
        <v>-31741.94</v>
      </c>
      <c r="I111" s="280">
        <f t="shared" si="37"/>
        <v>65589192.670000002</v>
      </c>
      <c r="J111" s="195"/>
    </row>
    <row r="112" spans="1:10" ht="18.75" customHeight="1" x14ac:dyDescent="0.3">
      <c r="A112" s="277" t="s">
        <v>256</v>
      </c>
      <c r="B112" s="195"/>
      <c r="C112" s="195"/>
      <c r="D112" s="195"/>
      <c r="E112" s="195"/>
      <c r="F112" s="195"/>
      <c r="G112" s="195"/>
      <c r="H112" s="195"/>
      <c r="I112" s="145"/>
      <c r="J112" s="195"/>
    </row>
    <row r="113" spans="1:15" ht="18.75" customHeight="1" x14ac:dyDescent="0.3">
      <c r="A113" s="310">
        <v>45548</v>
      </c>
      <c r="B113" s="195"/>
      <c r="C113" s="195"/>
      <c r="D113" s="195"/>
      <c r="E113" s="195"/>
      <c r="F113" s="195"/>
      <c r="G113" s="195"/>
      <c r="H113" s="195"/>
      <c r="I113" s="145">
        <f t="shared" ref="I113:I121" si="41">SUM(B113:H113)</f>
        <v>0</v>
      </c>
      <c r="J113" s="195"/>
      <c r="K113" s="184"/>
      <c r="L113" s="184"/>
      <c r="M113" s="184"/>
      <c r="N113" s="184"/>
      <c r="O113" s="184"/>
    </row>
    <row r="114" spans="1:15" ht="18.75" customHeight="1" x14ac:dyDescent="0.3">
      <c r="A114" s="310">
        <v>45548</v>
      </c>
      <c r="B114" s="195"/>
      <c r="C114" s="195"/>
      <c r="D114" s="195"/>
      <c r="E114" s="195"/>
      <c r="F114" s="195"/>
      <c r="G114" s="195"/>
      <c r="H114" s="195"/>
      <c r="I114" s="145">
        <f t="shared" si="41"/>
        <v>0</v>
      </c>
      <c r="J114" s="285"/>
      <c r="K114" s="376"/>
      <c r="L114" s="376"/>
      <c r="M114" s="376"/>
      <c r="N114" s="376"/>
      <c r="O114" s="376"/>
    </row>
    <row r="115" spans="1:15" ht="18.75" customHeight="1" x14ac:dyDescent="0.3">
      <c r="A115" s="310">
        <v>45565</v>
      </c>
      <c r="B115" s="195"/>
      <c r="C115" s="195"/>
      <c r="D115" s="195"/>
      <c r="E115" s="195"/>
      <c r="F115" s="195"/>
      <c r="G115" s="195"/>
      <c r="H115" s="195"/>
      <c r="I115" s="145">
        <f t="shared" si="41"/>
        <v>0</v>
      </c>
      <c r="J115" s="285"/>
      <c r="K115" s="376"/>
      <c r="L115" s="376"/>
      <c r="M115" s="376"/>
      <c r="N115" s="376"/>
      <c r="O115" s="376"/>
    </row>
    <row r="116" spans="1:15" ht="18.75" customHeight="1" x14ac:dyDescent="0.3">
      <c r="A116" s="310"/>
      <c r="B116" s="195"/>
      <c r="C116" s="195"/>
      <c r="D116" s="195"/>
      <c r="E116" s="195"/>
      <c r="F116" s="195"/>
      <c r="G116" s="195"/>
      <c r="H116" s="195"/>
      <c r="I116" s="145">
        <f t="shared" si="41"/>
        <v>0</v>
      </c>
      <c r="J116" s="195"/>
      <c r="K116" s="184"/>
      <c r="L116" s="184"/>
      <c r="M116" s="184"/>
      <c r="N116" s="184"/>
      <c r="O116" s="184"/>
    </row>
    <row r="117" spans="1:15" ht="18.75" customHeight="1" x14ac:dyDescent="0.3">
      <c r="A117" s="310"/>
      <c r="B117" s="195"/>
      <c r="C117" s="195"/>
      <c r="D117" s="195"/>
      <c r="E117" s="195"/>
      <c r="F117" s="195"/>
      <c r="G117" s="195"/>
      <c r="H117" s="195"/>
      <c r="I117" s="145">
        <f t="shared" si="41"/>
        <v>0</v>
      </c>
      <c r="J117" s="285"/>
      <c r="K117" s="376"/>
      <c r="L117" s="376"/>
      <c r="M117" s="376"/>
      <c r="N117" s="376"/>
      <c r="O117" s="376"/>
    </row>
    <row r="118" spans="1:15" ht="18.75" customHeight="1" x14ac:dyDescent="0.3">
      <c r="A118" s="310"/>
      <c r="B118" s="195"/>
      <c r="C118" s="195"/>
      <c r="D118" s="195"/>
      <c r="E118" s="195"/>
      <c r="F118" s="195"/>
      <c r="G118" s="195"/>
      <c r="H118" s="195"/>
      <c r="I118" s="145">
        <f t="shared" si="41"/>
        <v>0</v>
      </c>
      <c r="J118" s="136"/>
    </row>
    <row r="119" spans="1:15" ht="18.75" customHeight="1" x14ac:dyDescent="0.3">
      <c r="A119" s="377" t="s">
        <v>257</v>
      </c>
      <c r="B119" s="279">
        <f t="shared" ref="B119:H119" si="42">SUM(B112:B118)</f>
        <v>0</v>
      </c>
      <c r="C119" s="279">
        <f t="shared" si="42"/>
        <v>0</v>
      </c>
      <c r="D119" s="279">
        <f t="shared" si="42"/>
        <v>0</v>
      </c>
      <c r="E119" s="279">
        <f t="shared" si="42"/>
        <v>0</v>
      </c>
      <c r="F119" s="279">
        <f t="shared" si="42"/>
        <v>0</v>
      </c>
      <c r="G119" s="279">
        <f t="shared" si="42"/>
        <v>0</v>
      </c>
      <c r="H119" s="279">
        <f t="shared" si="42"/>
        <v>0</v>
      </c>
      <c r="I119" s="280">
        <f t="shared" si="41"/>
        <v>0</v>
      </c>
      <c r="J119" s="195"/>
      <c r="K119" s="376"/>
      <c r="L119" s="376"/>
      <c r="M119" s="376"/>
      <c r="N119" s="376"/>
      <c r="O119" s="376"/>
    </row>
    <row r="120" spans="1:15" ht="18.75" customHeight="1" x14ac:dyDescent="0.3">
      <c r="A120" s="377" t="s">
        <v>258</v>
      </c>
      <c r="B120" s="279">
        <f t="shared" ref="B120:H120" si="43">SUM(B110+B119)</f>
        <v>41632144.230000004</v>
      </c>
      <c r="C120" s="279">
        <f t="shared" si="43"/>
        <v>951440</v>
      </c>
      <c r="D120" s="279">
        <f t="shared" si="43"/>
        <v>1523068.16</v>
      </c>
      <c r="E120" s="279">
        <f t="shared" si="43"/>
        <v>934519.03</v>
      </c>
      <c r="F120" s="279">
        <f t="shared" si="43"/>
        <v>1473593.97</v>
      </c>
      <c r="G120" s="279">
        <f t="shared" si="43"/>
        <v>120000</v>
      </c>
      <c r="H120" s="279">
        <f t="shared" si="43"/>
        <v>31741.94</v>
      </c>
      <c r="I120" s="280">
        <f t="shared" si="41"/>
        <v>46666507.329999998</v>
      </c>
      <c r="J120" s="195"/>
      <c r="K120" s="184"/>
      <c r="L120" s="184"/>
      <c r="M120" s="184"/>
      <c r="N120" s="184"/>
      <c r="O120" s="184"/>
    </row>
    <row r="121" spans="1:15" ht="18.75" customHeight="1" x14ac:dyDescent="0.3">
      <c r="A121" s="377" t="s">
        <v>259</v>
      </c>
      <c r="B121" s="279">
        <f t="shared" ref="B121:H121" si="44">SUM(B111-B119)</f>
        <v>57451755.770000003</v>
      </c>
      <c r="C121" s="279">
        <f t="shared" si="44"/>
        <v>1687960</v>
      </c>
      <c r="D121" s="279">
        <f t="shared" si="44"/>
        <v>2413131.84</v>
      </c>
      <c r="E121" s="279">
        <f t="shared" si="44"/>
        <v>1599480.97</v>
      </c>
      <c r="F121" s="279">
        <f t="shared" si="44"/>
        <v>2399606.0300000003</v>
      </c>
      <c r="G121" s="279">
        <f t="shared" si="44"/>
        <v>69000</v>
      </c>
      <c r="H121" s="279">
        <f t="shared" si="44"/>
        <v>-31741.94</v>
      </c>
      <c r="I121" s="280">
        <f t="shared" si="41"/>
        <v>65589192.670000002</v>
      </c>
      <c r="J121" s="195"/>
      <c r="K121" s="184"/>
      <c r="L121" s="184"/>
      <c r="M121" s="184"/>
      <c r="N121" s="184"/>
      <c r="O121" s="184"/>
    </row>
    <row r="122" spans="1:15" ht="18.75" customHeight="1" x14ac:dyDescent="0.3">
      <c r="B122" s="136"/>
      <c r="C122" s="136"/>
      <c r="D122" s="136"/>
      <c r="E122" s="136"/>
      <c r="F122" s="136"/>
      <c r="G122" s="136"/>
      <c r="H122" s="136"/>
      <c r="I122" s="145"/>
      <c r="J122" s="136"/>
    </row>
    <row r="123" spans="1:15" ht="18.75" customHeight="1" x14ac:dyDescent="0.3">
      <c r="B123" s="136"/>
      <c r="C123" s="136"/>
      <c r="D123" s="136"/>
      <c r="E123" s="136"/>
      <c r="F123" s="136"/>
      <c r="G123" s="136"/>
      <c r="H123" s="136"/>
      <c r="I123" s="296"/>
      <c r="J123" s="136"/>
      <c r="O123" s="137" t="s">
        <v>59</v>
      </c>
    </row>
  </sheetData>
  <mergeCells count="1">
    <mergeCell ref="E1:H1"/>
  </mergeCells>
  <conditionalFormatting sqref="B8:H8 J8 B99:J102 B103:H108 J103:J108 B109:J112 B113:H118 J113:J118 B119:J996">
    <cfRule type="cellIs" dxfId="273" priority="1" stopIfTrue="1" operator="lessThan">
      <formula>0</formula>
    </cfRule>
  </conditionalFormatting>
  <conditionalFormatting sqref="B24:H33 J24:J33 I24:I39">
    <cfRule type="cellIs" dxfId="272" priority="2" stopIfTrue="1" operator="lessThan">
      <formula>0</formula>
    </cfRule>
  </conditionalFormatting>
  <conditionalFormatting sqref="B72:J72 B73:H78 J73:J78 B79:J82 B83:H88 J83:J88 B89:J92 B93:H98 J93:J98">
    <cfRule type="cellIs" dxfId="271" priority="3" stopIfTrue="1" operator="lessThan">
      <formula>0</formula>
    </cfRule>
  </conditionalFormatting>
  <conditionalFormatting sqref="J85">
    <cfRule type="cellIs" dxfId="270" priority="5" operator="lessThan">
      <formula>0</formula>
    </cfRule>
  </conditionalFormatting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103"/>
  <sheetViews>
    <sheetView workbookViewId="0">
      <pane ySplit="6" topLeftCell="A22" activePane="bottomLeft" state="frozen"/>
      <selection activeCell="E13" sqref="E13"/>
      <selection pane="bottomLeft" activeCell="B32" sqref="B32"/>
    </sheetView>
  </sheetViews>
  <sheetFormatPr defaultColWidth="14.42578125" defaultRowHeight="15" customHeight="1" x14ac:dyDescent="0.3"/>
  <cols>
    <col min="1" max="1" width="17.140625" style="137" customWidth="1"/>
    <col min="2" max="2" width="28.140625" style="137" customWidth="1"/>
    <col min="3" max="3" width="23.5703125" style="137" customWidth="1"/>
    <col min="4" max="4" width="18" style="137" customWidth="1"/>
    <col min="5" max="5" width="15" style="137" customWidth="1"/>
    <col min="6" max="6" width="9.140625" style="137" customWidth="1"/>
    <col min="7" max="26" width="8.7109375" style="137" customWidth="1"/>
    <col min="27" max="16384" width="14.42578125" style="137"/>
  </cols>
  <sheetData>
    <row r="1" spans="1:4" ht="18.75" customHeight="1" x14ac:dyDescent="0.3">
      <c r="A1" s="136" t="s">
        <v>362</v>
      </c>
      <c r="B1" s="136"/>
      <c r="C1" s="136"/>
    </row>
    <row r="2" spans="1:4" ht="18.75" customHeight="1" x14ac:dyDescent="0.3">
      <c r="A2" s="274"/>
      <c r="B2" s="274" t="str">
        <f>'ใบกัน 260'!E2</f>
        <v>ค่าตอบแทน
พนักงานราชการ</v>
      </c>
      <c r="C2" s="274" t="s">
        <v>208</v>
      </c>
    </row>
    <row r="3" spans="1:4" ht="18.75" customHeight="1" x14ac:dyDescent="0.3">
      <c r="A3" s="274"/>
      <c r="B3" s="274"/>
      <c r="C3" s="274"/>
    </row>
    <row r="4" spans="1:4" ht="18.75" customHeight="1" x14ac:dyDescent="0.3">
      <c r="A4" s="145" t="s">
        <v>209</v>
      </c>
      <c r="B4" s="145">
        <v>0</v>
      </c>
      <c r="C4" s="145">
        <f>SUM(B4)</f>
        <v>0</v>
      </c>
    </row>
    <row r="5" spans="1:4" ht="18.75" customHeight="1" x14ac:dyDescent="0.3">
      <c r="A5" s="145" t="s">
        <v>210</v>
      </c>
      <c r="B5" s="145">
        <f>+'ใบกัน 260'!E4</f>
        <v>3413500</v>
      </c>
      <c r="C5" s="145">
        <f>SUM(B5)</f>
        <v>3413500</v>
      </c>
    </row>
    <row r="6" spans="1:4" ht="18.75" customHeight="1" x14ac:dyDescent="0.3">
      <c r="A6" s="145" t="s">
        <v>211</v>
      </c>
      <c r="B6" s="145"/>
      <c r="C6" s="145"/>
    </row>
    <row r="7" spans="1:4" ht="18.75" customHeight="1" x14ac:dyDescent="0.3">
      <c r="A7" s="277" t="s">
        <v>212</v>
      </c>
      <c r="B7" s="195"/>
      <c r="C7" s="145">
        <f>SUM(B7)</f>
        <v>0</v>
      </c>
    </row>
    <row r="8" spans="1:4" ht="18.75" customHeight="1" x14ac:dyDescent="0.3">
      <c r="A8" s="310">
        <v>45580</v>
      </c>
      <c r="B8" s="195">
        <v>544360</v>
      </c>
      <c r="C8" s="145">
        <f>SUM(B8)</f>
        <v>544360</v>
      </c>
      <c r="D8" s="254" t="s">
        <v>1469</v>
      </c>
    </row>
    <row r="9" spans="1:4" ht="18.75" customHeight="1" x14ac:dyDescent="0.3">
      <c r="A9" s="195"/>
      <c r="B9" s="195"/>
      <c r="C9" s="145"/>
    </row>
    <row r="10" spans="1:4" ht="18.75" customHeight="1" x14ac:dyDescent="0.3">
      <c r="A10" s="195"/>
      <c r="B10" s="195"/>
      <c r="C10" s="145"/>
    </row>
    <row r="11" spans="1:4" ht="15.75" customHeight="1" x14ac:dyDescent="0.3">
      <c r="A11" s="136"/>
      <c r="B11" s="195"/>
      <c r="C11" s="145"/>
    </row>
    <row r="12" spans="1:4" ht="18.75" customHeight="1" x14ac:dyDescent="0.3">
      <c r="A12" s="279" t="s">
        <v>213</v>
      </c>
      <c r="B12" s="279">
        <f>SUM(B7:B11)</f>
        <v>544360</v>
      </c>
      <c r="C12" s="280">
        <f>SUM(B12)</f>
        <v>544360</v>
      </c>
    </row>
    <row r="13" spans="1:4" ht="18.75" customHeight="1" x14ac:dyDescent="0.3">
      <c r="A13" s="279" t="s">
        <v>214</v>
      </c>
      <c r="B13" s="279">
        <f>SUM(B4+B12)</f>
        <v>544360</v>
      </c>
      <c r="C13" s="280">
        <f>SUM(B13)</f>
        <v>544360</v>
      </c>
    </row>
    <row r="14" spans="1:4" ht="18.75" customHeight="1" x14ac:dyDescent="0.3">
      <c r="A14" s="279" t="s">
        <v>215</v>
      </c>
      <c r="B14" s="279">
        <f>SUM(B5-B12)</f>
        <v>2869140</v>
      </c>
      <c r="C14" s="280">
        <f>SUM(B14)</f>
        <v>2869140</v>
      </c>
    </row>
    <row r="15" spans="1:4" ht="18.75" customHeight="1" x14ac:dyDescent="0.3">
      <c r="A15" s="277" t="s">
        <v>216</v>
      </c>
      <c r="B15" s="195"/>
      <c r="C15" s="145">
        <f>SUM(B15)</f>
        <v>0</v>
      </c>
    </row>
    <row r="16" spans="1:4" ht="18.75" customHeight="1" x14ac:dyDescent="0.3">
      <c r="A16" s="310">
        <v>243935</v>
      </c>
      <c r="B16" s="195">
        <v>544360</v>
      </c>
      <c r="C16" s="145">
        <f>SUM(B16)</f>
        <v>544360</v>
      </c>
    </row>
    <row r="20" spans="1:4" ht="18.75" customHeight="1" x14ac:dyDescent="0.3">
      <c r="A20" s="279" t="s">
        <v>217</v>
      </c>
      <c r="B20" s="279">
        <f>SUM(B15:B19)</f>
        <v>544360</v>
      </c>
      <c r="C20" s="279">
        <f>SUM(B20)</f>
        <v>544360</v>
      </c>
    </row>
    <row r="21" spans="1:4" ht="18.75" customHeight="1" x14ac:dyDescent="0.3">
      <c r="A21" s="279" t="s">
        <v>218</v>
      </c>
      <c r="B21" s="279">
        <f>SUM(B13+B20)</f>
        <v>1088720</v>
      </c>
      <c r="C21" s="280">
        <f>SUM(B21)</f>
        <v>1088720</v>
      </c>
    </row>
    <row r="22" spans="1:4" ht="18.75" customHeight="1" x14ac:dyDescent="0.3">
      <c r="A22" s="279" t="s">
        <v>219</v>
      </c>
      <c r="B22" s="279">
        <f>SUM(B14-B20)</f>
        <v>2324780</v>
      </c>
      <c r="C22" s="280">
        <f>SUM(B22)</f>
        <v>2324780</v>
      </c>
    </row>
    <row r="23" spans="1:4" ht="18.75" customHeight="1" x14ac:dyDescent="0.3">
      <c r="A23" s="277" t="s">
        <v>220</v>
      </c>
      <c r="B23" s="195"/>
      <c r="C23" s="145">
        <f>SUM(B23)</f>
        <v>0</v>
      </c>
    </row>
    <row r="24" spans="1:4" ht="18.75" customHeight="1" x14ac:dyDescent="0.3">
      <c r="A24" s="310">
        <v>243965</v>
      </c>
      <c r="B24" s="195">
        <v>544360</v>
      </c>
      <c r="C24" s="145">
        <f>SUM(B24)</f>
        <v>544360</v>
      </c>
    </row>
    <row r="25" spans="1:4" ht="18.75" customHeight="1" x14ac:dyDescent="0.3">
      <c r="A25" s="310">
        <v>243978</v>
      </c>
      <c r="B25" s="195">
        <v>18580.64</v>
      </c>
      <c r="C25" s="145"/>
    </row>
    <row r="26" spans="1:4" ht="18.75" customHeight="1" x14ac:dyDescent="0.3">
      <c r="A26" s="310"/>
      <c r="B26" s="195"/>
      <c r="C26" s="145"/>
    </row>
    <row r="27" spans="1:4" ht="15.75" customHeight="1" x14ac:dyDescent="0.3">
      <c r="A27" s="136"/>
      <c r="B27" s="195"/>
      <c r="C27" s="145"/>
    </row>
    <row r="28" spans="1:4" ht="18.75" customHeight="1" x14ac:dyDescent="0.3">
      <c r="A28" s="279" t="s">
        <v>221</v>
      </c>
      <c r="B28" s="279">
        <f>SUM(B23:B27)</f>
        <v>562940.64</v>
      </c>
      <c r="C28" s="280">
        <f t="shared" ref="C28:C40" si="0">SUM(B28)</f>
        <v>562940.64</v>
      </c>
    </row>
    <row r="29" spans="1:4" ht="18.75" customHeight="1" x14ac:dyDescent="0.3">
      <c r="A29" s="279" t="s">
        <v>222</v>
      </c>
      <c r="B29" s="279">
        <f>SUM(B21+B28)</f>
        <v>1651660.6400000001</v>
      </c>
      <c r="C29" s="280">
        <f t="shared" si="0"/>
        <v>1651660.6400000001</v>
      </c>
    </row>
    <row r="30" spans="1:4" ht="18.75" customHeight="1" x14ac:dyDescent="0.3">
      <c r="A30" s="279" t="s">
        <v>223</v>
      </c>
      <c r="B30" s="279">
        <f>SUM(B22-B28)</f>
        <v>1761839.3599999999</v>
      </c>
      <c r="C30" s="280">
        <f t="shared" si="0"/>
        <v>1761839.3599999999</v>
      </c>
    </row>
    <row r="31" spans="1:4" ht="18.75" customHeight="1" x14ac:dyDescent="0.3">
      <c r="A31" s="277" t="s">
        <v>224</v>
      </c>
      <c r="B31" s="195"/>
      <c r="C31" s="145">
        <f t="shared" si="0"/>
        <v>0</v>
      </c>
    </row>
    <row r="32" spans="1:4" ht="18.75" customHeight="1" x14ac:dyDescent="0.3">
      <c r="A32" s="310">
        <v>243996</v>
      </c>
      <c r="B32" s="195">
        <v>580360</v>
      </c>
      <c r="C32" s="145">
        <f t="shared" si="0"/>
        <v>580360</v>
      </c>
      <c r="D32" s="272" t="s">
        <v>1782</v>
      </c>
    </row>
    <row r="33" spans="1:4" ht="18.75" customHeight="1" x14ac:dyDescent="0.3">
      <c r="A33" s="310"/>
      <c r="B33" s="195"/>
      <c r="C33" s="145">
        <f t="shared" si="0"/>
        <v>0</v>
      </c>
      <c r="D33" s="195"/>
    </row>
    <row r="34" spans="1:4" ht="18.75" customHeight="1" x14ac:dyDescent="0.3">
      <c r="A34" s="310"/>
      <c r="B34" s="195"/>
      <c r="C34" s="145">
        <f t="shared" si="0"/>
        <v>0</v>
      </c>
      <c r="D34" s="195"/>
    </row>
    <row r="35" spans="1:4" ht="15.75" customHeight="1" x14ac:dyDescent="0.3">
      <c r="A35" s="136"/>
      <c r="B35" s="195"/>
      <c r="C35" s="145">
        <f t="shared" si="0"/>
        <v>0</v>
      </c>
      <c r="D35" s="136"/>
    </row>
    <row r="36" spans="1:4" ht="18.75" customHeight="1" x14ac:dyDescent="0.3">
      <c r="A36" s="279" t="s">
        <v>225</v>
      </c>
      <c r="B36" s="279">
        <f>SUM(B31:B35)</f>
        <v>580360</v>
      </c>
      <c r="C36" s="280">
        <f t="shared" si="0"/>
        <v>580360</v>
      </c>
      <c r="D36" s="195"/>
    </row>
    <row r="37" spans="1:4" ht="18.75" customHeight="1" x14ac:dyDescent="0.3">
      <c r="A37" s="279" t="s">
        <v>226</v>
      </c>
      <c r="B37" s="279">
        <f>SUM(B29+B36)</f>
        <v>2232020.64</v>
      </c>
      <c r="C37" s="280">
        <f t="shared" si="0"/>
        <v>2232020.64</v>
      </c>
      <c r="D37" s="195"/>
    </row>
    <row r="38" spans="1:4" ht="18.75" customHeight="1" x14ac:dyDescent="0.3">
      <c r="A38" s="279" t="s">
        <v>227</v>
      </c>
      <c r="B38" s="279">
        <f>SUM(B30-B36)</f>
        <v>1181479.3599999999</v>
      </c>
      <c r="C38" s="280">
        <f t="shared" si="0"/>
        <v>1181479.3599999999</v>
      </c>
      <c r="D38" s="195"/>
    </row>
    <row r="39" spans="1:4" ht="18.75" customHeight="1" x14ac:dyDescent="0.3">
      <c r="A39" s="277" t="s">
        <v>228</v>
      </c>
      <c r="B39" s="195"/>
      <c r="C39" s="145">
        <f t="shared" si="0"/>
        <v>0</v>
      </c>
      <c r="D39" s="195"/>
    </row>
    <row r="40" spans="1:4" ht="18.75" customHeight="1" x14ac:dyDescent="0.3">
      <c r="A40" s="316">
        <v>243669</v>
      </c>
      <c r="B40" s="195"/>
      <c r="C40" s="145">
        <f t="shared" si="0"/>
        <v>0</v>
      </c>
      <c r="D40" s="195"/>
    </row>
    <row r="41" spans="1:4" ht="18.75" customHeight="1" x14ac:dyDescent="0.3">
      <c r="A41" s="310"/>
      <c r="B41" s="195"/>
      <c r="C41" s="145"/>
      <c r="D41" s="195"/>
    </row>
    <row r="42" spans="1:4" ht="18.75" customHeight="1" x14ac:dyDescent="0.3">
      <c r="A42" s="310"/>
      <c r="B42" s="195"/>
      <c r="C42" s="145"/>
      <c r="D42" s="195"/>
    </row>
    <row r="43" spans="1:4" ht="15.75" customHeight="1" x14ac:dyDescent="0.3">
      <c r="A43" s="136"/>
      <c r="B43" s="195"/>
      <c r="C43" s="145"/>
      <c r="D43" s="136"/>
    </row>
    <row r="44" spans="1:4" ht="18.75" customHeight="1" x14ac:dyDescent="0.3">
      <c r="A44" s="279" t="s">
        <v>229</v>
      </c>
      <c r="B44" s="279">
        <f>SUM(B39:B43)</f>
        <v>0</v>
      </c>
      <c r="C44" s="280">
        <f>SUM(B44)</f>
        <v>0</v>
      </c>
      <c r="D44" s="195"/>
    </row>
    <row r="45" spans="1:4" ht="18.75" customHeight="1" x14ac:dyDescent="0.3">
      <c r="A45" s="279" t="s">
        <v>230</v>
      </c>
      <c r="B45" s="279">
        <f>SUM(B37+B44)</f>
        <v>2232020.64</v>
      </c>
      <c r="C45" s="280">
        <f>SUM(B45)</f>
        <v>2232020.64</v>
      </c>
      <c r="D45" s="195"/>
    </row>
    <row r="46" spans="1:4" ht="18.75" customHeight="1" x14ac:dyDescent="0.3">
      <c r="A46" s="279" t="s">
        <v>231</v>
      </c>
      <c r="B46" s="279">
        <f>SUM(B38-B44)</f>
        <v>1181479.3599999999</v>
      </c>
      <c r="C46" s="280">
        <f>SUM(B46)</f>
        <v>1181479.3599999999</v>
      </c>
      <c r="D46" s="195"/>
    </row>
    <row r="47" spans="1:4" ht="18.75" customHeight="1" x14ac:dyDescent="0.3">
      <c r="A47" s="277" t="s">
        <v>232</v>
      </c>
      <c r="B47" s="195"/>
      <c r="C47" s="145">
        <f>SUM(B47)</f>
        <v>0</v>
      </c>
      <c r="D47" s="195"/>
    </row>
    <row r="48" spans="1:4" ht="18.75" customHeight="1" x14ac:dyDescent="0.3">
      <c r="A48" s="316">
        <v>243698</v>
      </c>
      <c r="B48" s="195"/>
      <c r="C48" s="145">
        <f>SUM(B48)</f>
        <v>0</v>
      </c>
      <c r="D48" s="373" t="s">
        <v>363</v>
      </c>
    </row>
    <row r="53" spans="1:4" ht="18.75" customHeight="1" x14ac:dyDescent="0.3">
      <c r="A53" s="279" t="s">
        <v>233</v>
      </c>
      <c r="B53" s="279">
        <f>SUM(B47:B52)</f>
        <v>0</v>
      </c>
      <c r="C53" s="280">
        <f>SUM(B53)</f>
        <v>0</v>
      </c>
      <c r="D53" s="195"/>
    </row>
    <row r="54" spans="1:4" ht="18.75" customHeight="1" x14ac:dyDescent="0.3">
      <c r="A54" s="279" t="s">
        <v>234</v>
      </c>
      <c r="B54" s="279">
        <f>SUM(B45+B53)</f>
        <v>2232020.64</v>
      </c>
      <c r="C54" s="280">
        <f>SUM(B54)</f>
        <v>2232020.64</v>
      </c>
      <c r="D54" s="195"/>
    </row>
    <row r="55" spans="1:4" ht="18.75" customHeight="1" x14ac:dyDescent="0.3">
      <c r="A55" s="279" t="s">
        <v>235</v>
      </c>
      <c r="B55" s="279">
        <f>SUM(B46-B53)</f>
        <v>1181479.3599999999</v>
      </c>
      <c r="C55" s="280">
        <f>SUM(B55)</f>
        <v>1181479.3599999999</v>
      </c>
      <c r="D55" s="195"/>
    </row>
    <row r="56" spans="1:4" ht="18.75" customHeight="1" x14ac:dyDescent="0.3">
      <c r="A56" s="277" t="s">
        <v>236</v>
      </c>
      <c r="B56" s="195"/>
      <c r="C56" s="145">
        <f>SUM(B56)</f>
        <v>0</v>
      </c>
      <c r="D56" s="195"/>
    </row>
    <row r="57" spans="1:4" ht="18.75" customHeight="1" x14ac:dyDescent="0.3">
      <c r="A57" s="316">
        <v>45392</v>
      </c>
      <c r="B57" s="195"/>
      <c r="C57" s="145">
        <f>SUM(B57)</f>
        <v>0</v>
      </c>
      <c r="D57" s="373" t="s">
        <v>364</v>
      </c>
    </row>
    <row r="58" spans="1:4" ht="18.75" customHeight="1" x14ac:dyDescent="0.3">
      <c r="A58" s="310"/>
      <c r="B58" s="195"/>
      <c r="C58" s="145"/>
      <c r="D58" s="195"/>
    </row>
    <row r="59" spans="1:4" ht="18.75" customHeight="1" x14ac:dyDescent="0.3">
      <c r="A59" s="310"/>
      <c r="B59" s="195"/>
      <c r="C59" s="145"/>
      <c r="D59" s="195"/>
    </row>
    <row r="60" spans="1:4" ht="15.75" customHeight="1" x14ac:dyDescent="0.3">
      <c r="A60" s="136"/>
      <c r="B60" s="195"/>
      <c r="C60" s="145"/>
      <c r="D60" s="136"/>
    </row>
    <row r="61" spans="1:4" ht="18.75" customHeight="1" x14ac:dyDescent="0.3">
      <c r="A61" s="279" t="s">
        <v>237</v>
      </c>
      <c r="B61" s="279">
        <f>SUM(B56:B60)</f>
        <v>0</v>
      </c>
      <c r="C61" s="280">
        <f>SUM(B61)</f>
        <v>0</v>
      </c>
      <c r="D61" s="195"/>
    </row>
    <row r="62" spans="1:4" ht="18.75" customHeight="1" x14ac:dyDescent="0.3">
      <c r="A62" s="279" t="s">
        <v>238</v>
      </c>
      <c r="B62" s="279">
        <f>SUM(B54+B61)</f>
        <v>2232020.64</v>
      </c>
      <c r="C62" s="280">
        <f>SUM(B62)</f>
        <v>2232020.64</v>
      </c>
      <c r="D62" s="195"/>
    </row>
    <row r="63" spans="1:4" ht="18.75" customHeight="1" x14ac:dyDescent="0.3">
      <c r="A63" s="279" t="s">
        <v>239</v>
      </c>
      <c r="B63" s="279">
        <f>SUM(B55-B61)</f>
        <v>1181479.3599999999</v>
      </c>
      <c r="C63" s="280">
        <f>SUM(B63)</f>
        <v>1181479.3599999999</v>
      </c>
      <c r="D63" s="195"/>
    </row>
    <row r="64" spans="1:4" ht="18.75" customHeight="1" x14ac:dyDescent="0.3">
      <c r="A64" s="277" t="s">
        <v>240</v>
      </c>
      <c r="B64" s="195"/>
      <c r="C64" s="145">
        <f>SUM(B64)</f>
        <v>0</v>
      </c>
      <c r="D64" s="195"/>
    </row>
    <row r="65" spans="1:4" ht="18.75" customHeight="1" x14ac:dyDescent="0.3">
      <c r="A65" s="316">
        <v>45435</v>
      </c>
      <c r="B65" s="195"/>
      <c r="C65" s="145">
        <f>SUM(B65)</f>
        <v>0</v>
      </c>
      <c r="D65" s="373" t="s">
        <v>262</v>
      </c>
    </row>
    <row r="66" spans="1:4" ht="18.75" customHeight="1" x14ac:dyDescent="0.3">
      <c r="A66" s="310"/>
      <c r="B66" s="195"/>
      <c r="C66" s="145"/>
      <c r="D66" s="195"/>
    </row>
    <row r="67" spans="1:4" ht="18.75" customHeight="1" x14ac:dyDescent="0.3">
      <c r="A67" s="310"/>
      <c r="B67" s="195"/>
      <c r="C67" s="145"/>
      <c r="D67" s="195"/>
    </row>
    <row r="68" spans="1:4" ht="18.75" customHeight="1" x14ac:dyDescent="0.3">
      <c r="A68" s="310"/>
      <c r="B68" s="195"/>
      <c r="C68" s="145"/>
      <c r="D68" s="195"/>
    </row>
    <row r="69" spans="1:4" ht="18.75" customHeight="1" x14ac:dyDescent="0.3">
      <c r="A69" s="279" t="s">
        <v>241</v>
      </c>
      <c r="B69" s="279">
        <f>SUM(B64:B68)</f>
        <v>0</v>
      </c>
      <c r="C69" s="280">
        <f t="shared" ref="C69:C74" si="1">SUM(B69)</f>
        <v>0</v>
      </c>
      <c r="D69" s="195"/>
    </row>
    <row r="70" spans="1:4" ht="18.75" customHeight="1" x14ac:dyDescent="0.3">
      <c r="A70" s="279" t="s">
        <v>242</v>
      </c>
      <c r="B70" s="279">
        <f>SUM(B62+B69)</f>
        <v>2232020.64</v>
      </c>
      <c r="C70" s="280">
        <f t="shared" si="1"/>
        <v>2232020.64</v>
      </c>
      <c r="D70" s="195"/>
    </row>
    <row r="71" spans="1:4" ht="18.75" customHeight="1" x14ac:dyDescent="0.3">
      <c r="A71" s="279" t="s">
        <v>243</v>
      </c>
      <c r="B71" s="279">
        <f>SUM(B63-B69)</f>
        <v>1181479.3599999999</v>
      </c>
      <c r="C71" s="280">
        <f t="shared" si="1"/>
        <v>1181479.3599999999</v>
      </c>
      <c r="D71" s="195"/>
    </row>
    <row r="72" spans="1:4" ht="18.75" customHeight="1" x14ac:dyDescent="0.3">
      <c r="A72" s="277" t="s">
        <v>244</v>
      </c>
      <c r="B72" s="195"/>
      <c r="C72" s="145">
        <f t="shared" si="1"/>
        <v>0</v>
      </c>
      <c r="D72" s="195"/>
    </row>
    <row r="73" spans="1:4" ht="18.75" customHeight="1" x14ac:dyDescent="0.3">
      <c r="A73" s="374" t="s">
        <v>365</v>
      </c>
      <c r="B73" s="195"/>
      <c r="C73" s="145">
        <f t="shared" si="1"/>
        <v>0</v>
      </c>
      <c r="D73" s="195" t="s">
        <v>366</v>
      </c>
    </row>
    <row r="74" spans="1:4" ht="18.75" customHeight="1" x14ac:dyDescent="0.3">
      <c r="A74" s="310"/>
      <c r="B74" s="195"/>
      <c r="C74" s="145">
        <f t="shared" si="1"/>
        <v>0</v>
      </c>
      <c r="D74" s="195"/>
    </row>
    <row r="75" spans="1:4" ht="18.75" customHeight="1" x14ac:dyDescent="0.3">
      <c r="A75" s="310"/>
      <c r="B75" s="195"/>
      <c r="C75" s="145"/>
      <c r="D75" s="195"/>
    </row>
    <row r="76" spans="1:4" ht="15.75" customHeight="1" x14ac:dyDescent="0.3">
      <c r="A76" s="136"/>
      <c r="B76" s="195"/>
      <c r="C76" s="145"/>
      <c r="D76" s="136"/>
    </row>
    <row r="77" spans="1:4" ht="18.75" customHeight="1" x14ac:dyDescent="0.3">
      <c r="A77" s="279" t="s">
        <v>245</v>
      </c>
      <c r="B77" s="279">
        <f>SUM(B72:B76)</f>
        <v>0</v>
      </c>
      <c r="C77" s="280">
        <f>SUM(B77)</f>
        <v>0</v>
      </c>
      <c r="D77" s="195"/>
    </row>
    <row r="78" spans="1:4" ht="18.75" customHeight="1" x14ac:dyDescent="0.3">
      <c r="A78" s="279" t="s">
        <v>246</v>
      </c>
      <c r="B78" s="279">
        <f>SUM(B70+B77)</f>
        <v>2232020.64</v>
      </c>
      <c r="C78" s="280">
        <f>SUM(B78)</f>
        <v>2232020.64</v>
      </c>
      <c r="D78" s="195"/>
    </row>
    <row r="79" spans="1:4" ht="18.75" customHeight="1" x14ac:dyDescent="0.3">
      <c r="A79" s="279" t="s">
        <v>247</v>
      </c>
      <c r="B79" s="279">
        <f>SUM(B71-B77)</f>
        <v>1181479.3599999999</v>
      </c>
      <c r="C79" s="280">
        <f>SUM(B79)</f>
        <v>1181479.3599999999</v>
      </c>
      <c r="D79" s="195"/>
    </row>
    <row r="80" spans="1:4" ht="18.75" customHeight="1" x14ac:dyDescent="0.3">
      <c r="A80" s="277" t="s">
        <v>248</v>
      </c>
      <c r="B80" s="195"/>
      <c r="C80" s="145">
        <f>SUM(B80)</f>
        <v>0</v>
      </c>
      <c r="D80" s="195"/>
    </row>
    <row r="81" spans="1:4" ht="18.75" customHeight="1" x14ac:dyDescent="0.3">
      <c r="A81" s="310">
        <v>45492</v>
      </c>
      <c r="B81" s="195"/>
      <c r="C81" s="145">
        <f>SUM(B81)</f>
        <v>0</v>
      </c>
      <c r="D81" s="195" t="s">
        <v>367</v>
      </c>
    </row>
    <row r="82" spans="1:4" ht="18.75" customHeight="1" x14ac:dyDescent="0.3">
      <c r="A82" s="310"/>
      <c r="B82" s="195"/>
      <c r="C82" s="145"/>
      <c r="D82" s="195"/>
    </row>
    <row r="83" spans="1:4" ht="18.75" customHeight="1" x14ac:dyDescent="0.3">
      <c r="A83" s="310"/>
      <c r="B83" s="195"/>
      <c r="C83" s="145"/>
      <c r="D83" s="195"/>
    </row>
    <row r="84" spans="1:4" ht="15.75" customHeight="1" x14ac:dyDescent="0.3">
      <c r="A84" s="136"/>
      <c r="B84" s="195"/>
      <c r="C84" s="145"/>
      <c r="D84" s="136"/>
    </row>
    <row r="85" spans="1:4" ht="18.75" customHeight="1" x14ac:dyDescent="0.3">
      <c r="A85" s="279" t="s">
        <v>249</v>
      </c>
      <c r="B85" s="279">
        <f>SUM(B80:B84)</f>
        <v>0</v>
      </c>
      <c r="C85" s="280">
        <f>SUM(B85)</f>
        <v>0</v>
      </c>
      <c r="D85" s="195"/>
    </row>
    <row r="86" spans="1:4" ht="18.75" customHeight="1" x14ac:dyDescent="0.3">
      <c r="A86" s="279" t="s">
        <v>250</v>
      </c>
      <c r="B86" s="279">
        <f>SUM(B78+B85)</f>
        <v>2232020.64</v>
      </c>
      <c r="C86" s="280">
        <f>SUM(B86)</f>
        <v>2232020.64</v>
      </c>
      <c r="D86" s="195"/>
    </row>
    <row r="87" spans="1:4" ht="18.75" customHeight="1" x14ac:dyDescent="0.3">
      <c r="A87" s="279" t="s">
        <v>251</v>
      </c>
      <c r="B87" s="279">
        <f>SUM(B79-B85)</f>
        <v>1181479.3599999999</v>
      </c>
      <c r="C87" s="280">
        <f>SUM(B87)</f>
        <v>1181479.3599999999</v>
      </c>
      <c r="D87" s="195"/>
    </row>
    <row r="88" spans="1:4" ht="18.75" customHeight="1" x14ac:dyDescent="0.3">
      <c r="A88" s="277" t="s">
        <v>252</v>
      </c>
      <c r="B88" s="195"/>
      <c r="C88" s="145"/>
      <c r="D88" s="195"/>
    </row>
    <row r="89" spans="1:4" ht="18.75" customHeight="1" x14ac:dyDescent="0.3">
      <c r="A89" s="310">
        <v>45526</v>
      </c>
      <c r="B89" s="195"/>
      <c r="C89" s="145">
        <f>SUM(B89)</f>
        <v>0</v>
      </c>
      <c r="D89" s="195"/>
    </row>
    <row r="90" spans="1:4" ht="18.75" customHeight="1" x14ac:dyDescent="0.3">
      <c r="A90" s="310"/>
      <c r="B90" s="195"/>
      <c r="C90" s="145"/>
      <c r="D90" s="195"/>
    </row>
    <row r="91" spans="1:4" ht="18.75" customHeight="1" x14ac:dyDescent="0.3">
      <c r="A91" s="310"/>
      <c r="B91" s="195"/>
      <c r="C91" s="145"/>
      <c r="D91" s="195"/>
    </row>
    <row r="92" spans="1:4" ht="15.75" customHeight="1" x14ac:dyDescent="0.3">
      <c r="A92" s="136"/>
      <c r="B92" s="195"/>
      <c r="C92" s="145"/>
      <c r="D92" s="136"/>
    </row>
    <row r="93" spans="1:4" ht="18.75" customHeight="1" x14ac:dyDescent="0.3">
      <c r="A93" s="279" t="s">
        <v>253</v>
      </c>
      <c r="B93" s="279">
        <f>SUM(B88:B92)</f>
        <v>0</v>
      </c>
      <c r="C93" s="280">
        <f>SUM(B93)</f>
        <v>0</v>
      </c>
      <c r="D93" s="195"/>
    </row>
    <row r="94" spans="1:4" ht="18.75" customHeight="1" x14ac:dyDescent="0.3">
      <c r="A94" s="279" t="s">
        <v>254</v>
      </c>
      <c r="B94" s="279">
        <f>SUM(B86+B93)</f>
        <v>2232020.64</v>
      </c>
      <c r="C94" s="280">
        <f>SUM(B94)</f>
        <v>2232020.64</v>
      </c>
      <c r="D94" s="195"/>
    </row>
    <row r="95" spans="1:4" ht="18.75" customHeight="1" x14ac:dyDescent="0.3">
      <c r="A95" s="279" t="s">
        <v>255</v>
      </c>
      <c r="B95" s="279">
        <f>SUM(B87-B93)</f>
        <v>1181479.3599999999</v>
      </c>
      <c r="C95" s="280">
        <f>SUM(B95)</f>
        <v>1181479.3599999999</v>
      </c>
      <c r="D95" s="195"/>
    </row>
    <row r="96" spans="1:4" ht="18.75" customHeight="1" x14ac:dyDescent="0.3">
      <c r="A96" s="277" t="s">
        <v>256</v>
      </c>
      <c r="B96" s="195"/>
      <c r="C96" s="145">
        <f>SUM(B96)</f>
        <v>0</v>
      </c>
      <c r="D96" s="195"/>
    </row>
    <row r="97" spans="1:3" ht="18.75" customHeight="1" x14ac:dyDescent="0.3">
      <c r="A97" s="310">
        <v>45548</v>
      </c>
      <c r="B97" s="195"/>
      <c r="C97" s="145">
        <f>SUM(B97)</f>
        <v>0</v>
      </c>
    </row>
    <row r="98" spans="1:3" ht="18.75" customHeight="1" x14ac:dyDescent="0.3">
      <c r="A98" s="310"/>
      <c r="B98" s="195"/>
      <c r="C98" s="145"/>
    </row>
    <row r="99" spans="1:3" ht="18.75" customHeight="1" x14ac:dyDescent="0.3">
      <c r="A99" s="310"/>
      <c r="B99" s="195"/>
      <c r="C99" s="145"/>
    </row>
    <row r="100" spans="1:3" ht="15.75" customHeight="1" x14ac:dyDescent="0.3">
      <c r="A100" s="136"/>
      <c r="B100" s="195"/>
      <c r="C100" s="145"/>
    </row>
    <row r="101" spans="1:3" ht="18.75" customHeight="1" x14ac:dyDescent="0.3">
      <c r="A101" s="279" t="s">
        <v>257</v>
      </c>
      <c r="B101" s="279">
        <f>SUM(B96:B100)</f>
        <v>0</v>
      </c>
      <c r="C101" s="280">
        <f>SUM(B101)</f>
        <v>0</v>
      </c>
    </row>
    <row r="102" spans="1:3" ht="18.75" customHeight="1" x14ac:dyDescent="0.3">
      <c r="A102" s="279" t="s">
        <v>258</v>
      </c>
      <c r="B102" s="279">
        <f>SUM(B94+B101)</f>
        <v>2232020.64</v>
      </c>
      <c r="C102" s="280">
        <f>SUM(B102)</f>
        <v>2232020.64</v>
      </c>
    </row>
    <row r="103" spans="1:3" ht="18.75" customHeight="1" x14ac:dyDescent="0.3">
      <c r="A103" s="279" t="s">
        <v>259</v>
      </c>
      <c r="B103" s="279">
        <f>SUM(B95-B101)</f>
        <v>1181479.3599999999</v>
      </c>
      <c r="C103" s="280">
        <f>SUM(B103)</f>
        <v>1181479.3599999999</v>
      </c>
    </row>
  </sheetData>
  <conditionalFormatting sqref="A23:C23 B28:C30 A25:C27 B24:C24">
    <cfRule type="cellIs" dxfId="269" priority="4" stopIfTrue="1" operator="lessThan">
      <formula>0</formula>
    </cfRule>
  </conditionalFormatting>
  <conditionalFormatting sqref="A31:C35 B36:C46">
    <cfRule type="cellIs" dxfId="268" priority="5" stopIfTrue="1" operator="lessThan">
      <formula>0</formula>
    </cfRule>
  </conditionalFormatting>
  <conditionalFormatting sqref="A47:C52 B53:C55">
    <cfRule type="cellIs" dxfId="267" priority="6" stopIfTrue="1" operator="lessThan">
      <formula>0</formula>
    </cfRule>
  </conditionalFormatting>
  <conditionalFormatting sqref="A56:C60">
    <cfRule type="cellIs" dxfId="266" priority="7" stopIfTrue="1" operator="lessThan">
      <formula>0</formula>
    </cfRule>
  </conditionalFormatting>
  <conditionalFormatting sqref="A64:C68">
    <cfRule type="cellIs" dxfId="265" priority="8" stopIfTrue="1" operator="lessThan">
      <formula>0</formula>
    </cfRule>
  </conditionalFormatting>
  <conditionalFormatting sqref="A72:C76">
    <cfRule type="cellIs" dxfId="264" priority="9" stopIfTrue="1" operator="lessThan">
      <formula>0</formula>
    </cfRule>
  </conditionalFormatting>
  <conditionalFormatting sqref="A80:C84 B85:C87 A88:C92 B93:C95 A96:C100 B101:C103">
    <cfRule type="cellIs" dxfId="263" priority="10" stopIfTrue="1" operator="lessThan">
      <formula>0</formula>
    </cfRule>
  </conditionalFormatting>
  <conditionalFormatting sqref="A9:D11">
    <cfRule type="cellIs" dxfId="262" priority="11" stopIfTrue="1" operator="lessThan">
      <formula>0</formula>
    </cfRule>
  </conditionalFormatting>
  <conditionalFormatting sqref="B61:C63">
    <cfRule type="cellIs" dxfId="261" priority="12" stopIfTrue="1" operator="lessThan">
      <formula>0</formula>
    </cfRule>
  </conditionalFormatting>
  <conditionalFormatting sqref="B69:C71">
    <cfRule type="cellIs" dxfId="260" priority="13" stopIfTrue="1" operator="lessThan">
      <formula>0</formula>
    </cfRule>
  </conditionalFormatting>
  <conditionalFormatting sqref="B77:C79">
    <cfRule type="cellIs" dxfId="259" priority="14" stopIfTrue="1" operator="lessThan">
      <formula>0</formula>
    </cfRule>
  </conditionalFormatting>
  <conditionalFormatting sqref="B1:D3 B6:C6 D6:D7 A7:C8 A15:C19 B20:C22">
    <cfRule type="cellIs" dxfId="258" priority="15" stopIfTrue="1" operator="lessThan">
      <formula>0</formula>
    </cfRule>
  </conditionalFormatting>
  <conditionalFormatting sqref="B104:D987">
    <cfRule type="cellIs" dxfId="257" priority="16" stopIfTrue="1" operator="lessThan">
      <formula>0</formula>
    </cfRule>
  </conditionalFormatting>
  <conditionalFormatting sqref="D15:D31 A39:A43 D33:D103">
    <cfRule type="cellIs" dxfId="256" priority="17" stopIfTrue="1" operator="lessThan">
      <formula>0</formula>
    </cfRule>
  </conditionalFormatting>
  <conditionalFormatting sqref="D8">
    <cfRule type="cellIs" dxfId="255" priority="3" stopIfTrue="1" operator="lessThan">
      <formula>0</formula>
    </cfRule>
  </conditionalFormatting>
  <conditionalFormatting sqref="A24">
    <cfRule type="cellIs" dxfId="254" priority="2" stopIfTrue="1" operator="lessThan">
      <formula>0</formula>
    </cfRule>
  </conditionalFormatting>
  <conditionalFormatting sqref="D32">
    <cfRule type="cellIs" dxfId="253" priority="1" stopIfTrue="1" operator="lessThan">
      <formula>0</formula>
    </cfRule>
  </conditionalFormatting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H121"/>
  <sheetViews>
    <sheetView workbookViewId="0">
      <pane xSplit="1" ySplit="6" topLeftCell="B31" activePane="bottomRight" state="frozen"/>
      <selection activeCell="E13" sqref="E13"/>
      <selection pane="topRight" activeCell="E13" sqref="E13"/>
      <selection pane="bottomLeft" activeCell="E13" sqref="E13"/>
      <selection pane="bottomRight" activeCell="B37" sqref="B37"/>
    </sheetView>
  </sheetViews>
  <sheetFormatPr defaultColWidth="14.42578125" defaultRowHeight="15" customHeight="1" x14ac:dyDescent="0.3"/>
  <cols>
    <col min="1" max="1" width="22.140625" style="137" customWidth="1"/>
    <col min="2" max="2" width="15.140625" style="137" customWidth="1"/>
    <col min="3" max="3" width="19.42578125" style="137" customWidth="1"/>
    <col min="4" max="6" width="14.7109375" style="137" customWidth="1"/>
    <col min="7" max="7" width="16.140625" style="137" customWidth="1"/>
    <col min="8" max="8" width="15" style="137" customWidth="1"/>
    <col min="9" max="26" width="8.7109375" style="137" customWidth="1"/>
    <col min="27" max="16384" width="14.42578125" style="137"/>
  </cols>
  <sheetData>
    <row r="2" spans="1:8" ht="18.75" customHeight="1" x14ac:dyDescent="0.3">
      <c r="A2" s="282"/>
      <c r="B2" s="1227" t="str">
        <f>'ใบกัน 300-400(ภาครัฐ)'!E2</f>
        <v>เงินตอบแทนพิเศษ
เงินเดือนถึงขั้นสูงของอันดับ</v>
      </c>
      <c r="C2" s="964" t="s">
        <v>368</v>
      </c>
      <c r="D2" s="1227" t="str">
        <f>'ใบกัน 300-400(ภาครัฐ)'!G2</f>
        <v>เงินสมทบกองทุนประกันสังคม</v>
      </c>
      <c r="E2" s="1227" t="str">
        <f>'ใบกัน 300-400(ภาครัฐ)'!H2</f>
        <v>เงินกองทุน
เงินทดแทน</v>
      </c>
      <c r="F2" s="1227" t="str">
        <f>'ใบกัน 300-400(ภาครัฐ)'!F2</f>
        <v>ลูกจ้าง ตปท. ลาออก</v>
      </c>
      <c r="G2" s="1226" t="s">
        <v>208</v>
      </c>
      <c r="H2" s="274"/>
    </row>
    <row r="3" spans="1:8" ht="33.75" customHeight="1" x14ac:dyDescent="0.3">
      <c r="A3" s="282" t="s">
        <v>265</v>
      </c>
      <c r="B3" s="1227"/>
      <c r="C3" s="964" t="s">
        <v>369</v>
      </c>
      <c r="D3" s="1227"/>
      <c r="E3" s="1227"/>
      <c r="F3" s="1227"/>
      <c r="G3" s="1226"/>
      <c r="H3" s="274"/>
    </row>
    <row r="4" spans="1:8" ht="18.75" customHeight="1" x14ac:dyDescent="0.3">
      <c r="A4" s="283" t="s">
        <v>209</v>
      </c>
      <c r="B4" s="145">
        <v>0</v>
      </c>
      <c r="C4" s="145">
        <v>0</v>
      </c>
      <c r="D4" s="145">
        <v>0</v>
      </c>
      <c r="E4" s="145">
        <v>0</v>
      </c>
      <c r="F4" s="145">
        <v>0</v>
      </c>
      <c r="G4" s="276">
        <f>SUM(B4:F4)</f>
        <v>0</v>
      </c>
      <c r="H4" s="136"/>
    </row>
    <row r="5" spans="1:8" ht="18.75" customHeight="1" x14ac:dyDescent="0.3">
      <c r="A5" s="283" t="s">
        <v>210</v>
      </c>
      <c r="B5" s="145">
        <f>+'ใบกัน 300-400(ภาครัฐ)'!E4</f>
        <v>21000</v>
      </c>
      <c r="C5" s="145"/>
      <c r="D5" s="145">
        <f>+'ใบกัน 300-400(ภาครัฐ)'!G4</f>
        <v>114600</v>
      </c>
      <c r="E5" s="145">
        <f>+'ใบกัน 300-400(ภาครัฐ)'!H4</f>
        <v>12200</v>
      </c>
      <c r="F5" s="145">
        <f>+'ใบกัน 300-400(ภาครัฐ)'!F4</f>
        <v>0</v>
      </c>
      <c r="G5" s="145">
        <f>+'ใบกัน 300-400(ภาครัฐ)'!I4</f>
        <v>147800</v>
      </c>
      <c r="H5" s="136"/>
    </row>
    <row r="6" spans="1:8" ht="18.75" customHeight="1" x14ac:dyDescent="0.3">
      <c r="A6" s="283" t="s">
        <v>211</v>
      </c>
      <c r="B6" s="296"/>
      <c r="C6" s="296"/>
      <c r="D6" s="296"/>
      <c r="E6" s="296"/>
      <c r="F6" s="296"/>
      <c r="G6" s="276"/>
      <c r="H6" s="136"/>
    </row>
    <row r="7" spans="1:8" ht="18.75" customHeight="1" x14ac:dyDescent="0.3">
      <c r="A7" s="284" t="s">
        <v>212</v>
      </c>
      <c r="B7" s="136"/>
      <c r="C7" s="136"/>
      <c r="D7" s="136"/>
      <c r="E7" s="136"/>
      <c r="F7" s="136"/>
      <c r="G7" s="276"/>
      <c r="H7" s="136"/>
    </row>
    <row r="8" spans="1:8" ht="18.75" customHeight="1" x14ac:dyDescent="0.3">
      <c r="A8" s="281">
        <v>45580</v>
      </c>
      <c r="B8" s="136"/>
      <c r="C8" s="136"/>
      <c r="D8" s="136">
        <v>17969</v>
      </c>
      <c r="E8" s="136"/>
      <c r="F8" s="136"/>
      <c r="G8" s="276">
        <f t="shared" ref="G8:G44" si="0">SUM(B8:F8)</f>
        <v>17969</v>
      </c>
      <c r="H8" s="136"/>
    </row>
    <row r="9" spans="1:8" ht="18.75" customHeight="1" x14ac:dyDescent="0.3">
      <c r="A9" s="281"/>
      <c r="B9" s="136">
        <v>1479.9</v>
      </c>
      <c r="C9" s="136"/>
      <c r="D9" s="136"/>
      <c r="E9" s="136"/>
      <c r="F9" s="136"/>
      <c r="G9" s="276">
        <f t="shared" si="0"/>
        <v>1479.9</v>
      </c>
      <c r="H9" s="136"/>
    </row>
    <row r="10" spans="1:8" ht="18.75" customHeight="1" x14ac:dyDescent="0.3">
      <c r="A10" s="281"/>
      <c r="B10" s="136"/>
      <c r="C10" s="136"/>
      <c r="D10" s="136"/>
      <c r="E10" s="136"/>
      <c r="F10" s="136"/>
      <c r="G10" s="276">
        <f t="shared" si="0"/>
        <v>0</v>
      </c>
      <c r="H10" s="136"/>
    </row>
    <row r="11" spans="1:8" ht="18.75" customHeight="1" x14ac:dyDescent="0.3">
      <c r="A11" s="281"/>
      <c r="B11" s="136"/>
      <c r="C11" s="136"/>
      <c r="D11" s="136"/>
      <c r="E11" s="136"/>
      <c r="F11" s="136"/>
      <c r="G11" s="276">
        <f t="shared" si="0"/>
        <v>0</v>
      </c>
      <c r="H11" s="136"/>
    </row>
    <row r="12" spans="1:8" ht="18.75" customHeight="1" x14ac:dyDescent="0.3">
      <c r="A12" s="281"/>
      <c r="B12" s="136"/>
      <c r="C12" s="136"/>
      <c r="D12" s="136"/>
      <c r="E12" s="136"/>
      <c r="F12" s="136"/>
      <c r="G12" s="276">
        <f t="shared" si="0"/>
        <v>0</v>
      </c>
      <c r="H12" s="138"/>
    </row>
    <row r="13" spans="1:8" ht="18.75" customHeight="1" x14ac:dyDescent="0.3">
      <c r="A13" s="287" t="s">
        <v>213</v>
      </c>
      <c r="B13" s="279">
        <f>SUM(B7:B12)</f>
        <v>1479.9</v>
      </c>
      <c r="C13" s="279">
        <f>SUM(C7:C12)</f>
        <v>0</v>
      </c>
      <c r="D13" s="279">
        <f>SUM(D7:D12)</f>
        <v>17969</v>
      </c>
      <c r="E13" s="279">
        <f>SUM(E7:E12)</f>
        <v>0</v>
      </c>
      <c r="F13" s="279">
        <f>SUM(F7:F12)</f>
        <v>0</v>
      </c>
      <c r="G13" s="364">
        <f t="shared" si="0"/>
        <v>19448.900000000001</v>
      </c>
      <c r="H13" s="136"/>
    </row>
    <row r="14" spans="1:8" ht="18.75" customHeight="1" x14ac:dyDescent="0.3">
      <c r="A14" s="287" t="s">
        <v>341</v>
      </c>
      <c r="B14" s="279">
        <f>SUM(B4+B13)</f>
        <v>1479.9</v>
      </c>
      <c r="C14" s="279">
        <f>SUM(C4+C13)</f>
        <v>0</v>
      </c>
      <c r="D14" s="279">
        <f>SUM(D4+D13)</f>
        <v>17969</v>
      </c>
      <c r="E14" s="279">
        <f>SUM(E4+E13)</f>
        <v>0</v>
      </c>
      <c r="F14" s="279">
        <f>SUM(F4+F13)</f>
        <v>0</v>
      </c>
      <c r="G14" s="364">
        <f t="shared" si="0"/>
        <v>19448.900000000001</v>
      </c>
      <c r="H14" s="136"/>
    </row>
    <row r="15" spans="1:8" ht="18.75" customHeight="1" x14ac:dyDescent="0.3">
      <c r="A15" s="287" t="s">
        <v>210</v>
      </c>
      <c r="B15" s="279">
        <f>SUM(B5-B13)</f>
        <v>19520.099999999999</v>
      </c>
      <c r="C15" s="279">
        <f>SUM(C5-C13)</f>
        <v>0</v>
      </c>
      <c r="D15" s="279">
        <f>SUM(D5-D13)</f>
        <v>96631</v>
      </c>
      <c r="E15" s="279">
        <f>SUM(E5-E13)</f>
        <v>12200</v>
      </c>
      <c r="F15" s="279">
        <f>SUM(F5-F13)</f>
        <v>0</v>
      </c>
      <c r="G15" s="364">
        <f t="shared" si="0"/>
        <v>128351.1</v>
      </c>
      <c r="H15" s="136"/>
    </row>
    <row r="16" spans="1:8" ht="18.75" customHeight="1" x14ac:dyDescent="0.3">
      <c r="A16" s="284" t="s">
        <v>216</v>
      </c>
      <c r="B16" s="136"/>
      <c r="C16" s="136"/>
      <c r="D16" s="136"/>
      <c r="E16" s="136"/>
      <c r="F16" s="136"/>
      <c r="G16" s="276">
        <f t="shared" si="0"/>
        <v>0</v>
      </c>
      <c r="H16" s="136"/>
    </row>
    <row r="17" spans="1:8" ht="18.75" customHeight="1" x14ac:dyDescent="0.3">
      <c r="A17" s="281">
        <v>243935</v>
      </c>
      <c r="B17" s="136"/>
      <c r="C17" s="136"/>
      <c r="D17" s="136">
        <v>17969</v>
      </c>
      <c r="E17" s="136"/>
      <c r="F17" s="136"/>
      <c r="G17" s="276">
        <f t="shared" si="0"/>
        <v>17969</v>
      </c>
      <c r="H17" s="136"/>
    </row>
    <row r="18" spans="1:8" ht="18.75" customHeight="1" x14ac:dyDescent="0.3">
      <c r="A18" s="281"/>
      <c r="B18" s="136">
        <f>4297.99+5777.89</f>
        <v>10075.880000000001</v>
      </c>
      <c r="C18" s="136"/>
      <c r="D18" s="136"/>
      <c r="E18" s="136"/>
      <c r="F18" s="136"/>
      <c r="G18" s="276">
        <f t="shared" si="0"/>
        <v>10075.880000000001</v>
      </c>
      <c r="H18" s="136"/>
    </row>
    <row r="19" spans="1:8" ht="18.75" customHeight="1" x14ac:dyDescent="0.3">
      <c r="A19" s="281"/>
      <c r="B19" s="136"/>
      <c r="C19" s="136"/>
      <c r="D19" s="136"/>
      <c r="E19" s="136"/>
      <c r="F19" s="136"/>
      <c r="G19" s="276">
        <f t="shared" si="0"/>
        <v>0</v>
      </c>
      <c r="H19" s="136"/>
    </row>
    <row r="20" spans="1:8" ht="18.75" customHeight="1" x14ac:dyDescent="0.3">
      <c r="A20" s="281"/>
      <c r="B20" s="136"/>
      <c r="C20" s="136"/>
      <c r="D20" s="136"/>
      <c r="E20" s="136"/>
      <c r="F20" s="136"/>
      <c r="G20" s="276">
        <f t="shared" si="0"/>
        <v>0</v>
      </c>
      <c r="H20" s="136"/>
    </row>
    <row r="21" spans="1:8" ht="18.75" customHeight="1" x14ac:dyDescent="0.3">
      <c r="A21" s="281"/>
      <c r="B21" s="136"/>
      <c r="C21" s="136"/>
      <c r="D21" s="136"/>
      <c r="E21" s="136"/>
      <c r="F21" s="136"/>
      <c r="G21" s="276">
        <f t="shared" si="0"/>
        <v>0</v>
      </c>
      <c r="H21" s="138"/>
    </row>
    <row r="22" spans="1:8" ht="18.75" customHeight="1" x14ac:dyDescent="0.3">
      <c r="A22" s="287" t="s">
        <v>217</v>
      </c>
      <c r="B22" s="279">
        <f>SUM(B16:B21)</f>
        <v>10075.880000000001</v>
      </c>
      <c r="C22" s="279">
        <f>SUM(C16:C21)</f>
        <v>0</v>
      </c>
      <c r="D22" s="279">
        <f>SUM(D16:D21)</f>
        <v>17969</v>
      </c>
      <c r="E22" s="279">
        <f>SUM(E16:E21)</f>
        <v>0</v>
      </c>
      <c r="F22" s="279">
        <f>SUM(F16:F21)</f>
        <v>0</v>
      </c>
      <c r="G22" s="364">
        <f t="shared" si="0"/>
        <v>28044.880000000001</v>
      </c>
      <c r="H22" s="136"/>
    </row>
    <row r="23" spans="1:8" ht="18.75" customHeight="1" x14ac:dyDescent="0.3">
      <c r="A23" s="287" t="s">
        <v>218</v>
      </c>
      <c r="B23" s="279">
        <f>SUM(B14+B22)</f>
        <v>11555.78</v>
      </c>
      <c r="C23" s="279">
        <f>SUM(C14+C22)</f>
        <v>0</v>
      </c>
      <c r="D23" s="279">
        <f>SUM(D14+D22)</f>
        <v>35938</v>
      </c>
      <c r="E23" s="279">
        <f>SUM(E14+E22)</f>
        <v>0</v>
      </c>
      <c r="F23" s="279">
        <f>SUM(F14+F22)</f>
        <v>0</v>
      </c>
      <c r="G23" s="364">
        <f t="shared" si="0"/>
        <v>47493.78</v>
      </c>
      <c r="H23" s="136"/>
    </row>
    <row r="24" spans="1:8" ht="18.75" customHeight="1" x14ac:dyDescent="0.3">
      <c r="A24" s="287" t="s">
        <v>219</v>
      </c>
      <c r="B24" s="279">
        <f>SUM(B15-B22)</f>
        <v>9444.2199999999975</v>
      </c>
      <c r="C24" s="279">
        <f>SUM(C15-C22)</f>
        <v>0</v>
      </c>
      <c r="D24" s="279">
        <f>SUM(D15-D22)</f>
        <v>78662</v>
      </c>
      <c r="E24" s="279">
        <f>SUM(E15-E22)</f>
        <v>12200</v>
      </c>
      <c r="F24" s="279">
        <f>SUM(F15-F22)</f>
        <v>0</v>
      </c>
      <c r="G24" s="364">
        <f t="shared" si="0"/>
        <v>100306.22</v>
      </c>
      <c r="H24" s="136"/>
    </row>
    <row r="25" spans="1:8" ht="18.75" customHeight="1" x14ac:dyDescent="0.3">
      <c r="A25" s="284" t="s">
        <v>220</v>
      </c>
      <c r="B25" s="136"/>
      <c r="C25" s="136"/>
      <c r="D25" s="136"/>
      <c r="E25" s="136"/>
      <c r="F25" s="136"/>
      <c r="G25" s="276">
        <f t="shared" si="0"/>
        <v>0</v>
      </c>
      <c r="H25" s="136"/>
    </row>
    <row r="26" spans="1:8" ht="18.75" customHeight="1" x14ac:dyDescent="0.3">
      <c r="A26" s="281">
        <v>243965</v>
      </c>
      <c r="B26" s="136">
        <v>5777.89</v>
      </c>
      <c r="C26" s="136"/>
      <c r="D26" s="136"/>
      <c r="E26" s="136"/>
      <c r="F26" s="136"/>
      <c r="G26" s="276">
        <f t="shared" si="0"/>
        <v>5777.89</v>
      </c>
      <c r="H26" s="136"/>
    </row>
    <row r="27" spans="1:8" ht="18.75" customHeight="1" x14ac:dyDescent="0.3">
      <c r="A27" s="281">
        <v>243965</v>
      </c>
      <c r="B27" s="136"/>
      <c r="C27" s="136"/>
      <c r="D27" s="136">
        <v>17969</v>
      </c>
      <c r="E27" s="136"/>
      <c r="F27" s="136"/>
      <c r="G27" s="276">
        <f t="shared" si="0"/>
        <v>17969</v>
      </c>
      <c r="H27" s="136"/>
    </row>
    <row r="28" spans="1:8" ht="18.75" customHeight="1" x14ac:dyDescent="0.3">
      <c r="A28" s="281">
        <v>243978</v>
      </c>
      <c r="B28" s="136"/>
      <c r="C28" s="136"/>
      <c r="D28" s="136">
        <v>930</v>
      </c>
      <c r="E28" s="136"/>
      <c r="F28" s="136"/>
      <c r="G28" s="276">
        <f t="shared" si="0"/>
        <v>930</v>
      </c>
      <c r="H28" s="136"/>
    </row>
    <row r="29" spans="1:8" ht="18.75" customHeight="1" x14ac:dyDescent="0.3">
      <c r="A29" s="281"/>
      <c r="B29" s="136"/>
      <c r="C29" s="136"/>
      <c r="D29" s="136"/>
      <c r="E29" s="136"/>
      <c r="F29" s="136"/>
      <c r="G29" s="276">
        <f t="shared" si="0"/>
        <v>0</v>
      </c>
      <c r="H29" s="136"/>
    </row>
    <row r="30" spans="1:8" ht="18.75" customHeight="1" x14ac:dyDescent="0.3">
      <c r="A30" s="281"/>
      <c r="B30" s="136"/>
      <c r="C30" s="136"/>
      <c r="D30" s="136"/>
      <c r="E30" s="136"/>
      <c r="F30" s="136"/>
      <c r="G30" s="276">
        <f t="shared" si="0"/>
        <v>0</v>
      </c>
      <c r="H30" s="138"/>
    </row>
    <row r="31" spans="1:8" ht="18.75" customHeight="1" x14ac:dyDescent="0.3">
      <c r="A31" s="287" t="s">
        <v>221</v>
      </c>
      <c r="B31" s="279">
        <f>SUM(B25:B30)</f>
        <v>5777.89</v>
      </c>
      <c r="C31" s="279">
        <f>SUM(C25:C30)</f>
        <v>0</v>
      </c>
      <c r="D31" s="279">
        <f>SUM(D25:D30)</f>
        <v>18899</v>
      </c>
      <c r="E31" s="279">
        <f>SUM(E25:E30)</f>
        <v>0</v>
      </c>
      <c r="F31" s="279">
        <f>SUM(F25:F30)</f>
        <v>0</v>
      </c>
      <c r="G31" s="364">
        <f t="shared" si="0"/>
        <v>24676.89</v>
      </c>
      <c r="H31" s="136"/>
    </row>
    <row r="32" spans="1:8" ht="18.75" customHeight="1" x14ac:dyDescent="0.3">
      <c r="A32" s="287" t="s">
        <v>222</v>
      </c>
      <c r="B32" s="279">
        <f>SUM(B23+B31)</f>
        <v>17333.670000000002</v>
      </c>
      <c r="C32" s="279">
        <f>SUM(C23+C31)</f>
        <v>0</v>
      </c>
      <c r="D32" s="279">
        <f>SUM(D23+D31)</f>
        <v>54837</v>
      </c>
      <c r="E32" s="279">
        <f>SUM(E23+E31)</f>
        <v>0</v>
      </c>
      <c r="F32" s="279">
        <f>SUM(F23+F31)</f>
        <v>0</v>
      </c>
      <c r="G32" s="364">
        <f t="shared" si="0"/>
        <v>72170.67</v>
      </c>
      <c r="H32" s="136"/>
    </row>
    <row r="33" spans="1:8" ht="18.75" customHeight="1" x14ac:dyDescent="0.3">
      <c r="A33" s="287" t="s">
        <v>223</v>
      </c>
      <c r="B33" s="279">
        <f>SUM(B24-B31)</f>
        <v>3666.3299999999972</v>
      </c>
      <c r="C33" s="279">
        <f>SUM(C24-C31)</f>
        <v>0</v>
      </c>
      <c r="D33" s="279">
        <f>SUM(D24-D31)</f>
        <v>59763</v>
      </c>
      <c r="E33" s="279">
        <f>SUM(E24-E31)</f>
        <v>12200</v>
      </c>
      <c r="F33" s="279">
        <f>SUM(F24-F31)</f>
        <v>0</v>
      </c>
      <c r="G33" s="364">
        <f t="shared" si="0"/>
        <v>75629.329999999987</v>
      </c>
      <c r="H33" s="136"/>
    </row>
    <row r="34" spans="1:8" ht="18.75" customHeight="1" x14ac:dyDescent="0.3">
      <c r="A34" s="284" t="s">
        <v>224</v>
      </c>
      <c r="B34" s="136"/>
      <c r="C34" s="136"/>
      <c r="D34" s="136"/>
      <c r="E34" s="136"/>
      <c r="F34" s="136"/>
      <c r="G34" s="276">
        <f t="shared" si="0"/>
        <v>0</v>
      </c>
      <c r="H34" s="136"/>
    </row>
    <row r="35" spans="1:8" ht="18.75" customHeight="1" x14ac:dyDescent="0.3">
      <c r="A35" s="281">
        <v>243996</v>
      </c>
      <c r="B35" s="136"/>
      <c r="C35" s="136"/>
      <c r="D35" s="136">
        <v>19469</v>
      </c>
      <c r="E35" s="136"/>
      <c r="F35" s="136"/>
      <c r="G35" s="276">
        <f t="shared" si="0"/>
        <v>19469</v>
      </c>
      <c r="H35" s="272" t="s">
        <v>1783</v>
      </c>
    </row>
    <row r="36" spans="1:8" ht="18.75" customHeight="1" x14ac:dyDescent="0.3">
      <c r="A36" s="281">
        <v>243999</v>
      </c>
      <c r="B36" s="136"/>
      <c r="C36" s="136"/>
      <c r="D36" s="136"/>
      <c r="E36" s="136">
        <v>5748</v>
      </c>
      <c r="F36" s="136"/>
      <c r="G36" s="276">
        <f t="shared" si="0"/>
        <v>5748</v>
      </c>
      <c r="H36" s="272" t="s">
        <v>1790</v>
      </c>
    </row>
    <row r="37" spans="1:8" ht="18.75" customHeight="1" x14ac:dyDescent="0.3">
      <c r="A37" s="281"/>
      <c r="B37" s="136">
        <v>5777.89</v>
      </c>
      <c r="C37" s="136"/>
      <c r="D37" s="136"/>
      <c r="E37" s="136"/>
      <c r="F37" s="136"/>
      <c r="G37" s="276">
        <f t="shared" si="0"/>
        <v>5777.89</v>
      </c>
      <c r="H37" s="136"/>
    </row>
    <row r="38" spans="1:8" ht="18.75" customHeight="1" x14ac:dyDescent="0.3">
      <c r="A38" s="281"/>
      <c r="B38" s="136"/>
      <c r="C38" s="136"/>
      <c r="D38" s="136"/>
      <c r="E38" s="136"/>
      <c r="F38" s="136"/>
      <c r="G38" s="276">
        <f t="shared" si="0"/>
        <v>0</v>
      </c>
      <c r="H38" s="136"/>
    </row>
    <row r="39" spans="1:8" ht="18.75" customHeight="1" x14ac:dyDescent="0.3">
      <c r="A39" s="281"/>
      <c r="B39" s="136"/>
      <c r="C39" s="136"/>
      <c r="D39" s="136"/>
      <c r="E39" s="136"/>
      <c r="F39" s="136"/>
      <c r="G39" s="276">
        <f t="shared" si="0"/>
        <v>0</v>
      </c>
      <c r="H39" s="136"/>
    </row>
    <row r="40" spans="1:8" ht="18.75" customHeight="1" x14ac:dyDescent="0.3">
      <c r="A40" s="281"/>
      <c r="B40" s="136"/>
      <c r="C40" s="136"/>
      <c r="D40" s="136"/>
      <c r="E40" s="136"/>
      <c r="F40" s="136"/>
      <c r="G40" s="276">
        <f t="shared" si="0"/>
        <v>0</v>
      </c>
      <c r="H40" s="136"/>
    </row>
    <row r="41" spans="1:8" ht="18.75" customHeight="1" x14ac:dyDescent="0.3">
      <c r="A41" s="281"/>
      <c r="B41" s="136"/>
      <c r="C41" s="136"/>
      <c r="D41" s="136"/>
      <c r="E41" s="136"/>
      <c r="F41" s="136"/>
      <c r="G41" s="276">
        <f t="shared" si="0"/>
        <v>0</v>
      </c>
      <c r="H41" s="138"/>
    </row>
    <row r="42" spans="1:8" ht="18.75" customHeight="1" x14ac:dyDescent="0.3">
      <c r="A42" s="287" t="s">
        <v>225</v>
      </c>
      <c r="B42" s="279">
        <f>SUM(B34:B41)</f>
        <v>5777.89</v>
      </c>
      <c r="C42" s="279">
        <f>SUM(C34:C41)</f>
        <v>0</v>
      </c>
      <c r="D42" s="279">
        <f>SUM(D34:D41)</f>
        <v>19469</v>
      </c>
      <c r="E42" s="279">
        <f>SUM(E34:E41)</f>
        <v>5748</v>
      </c>
      <c r="F42" s="279">
        <f>SUM(F34:F41)</f>
        <v>0</v>
      </c>
      <c r="G42" s="364">
        <f t="shared" si="0"/>
        <v>30994.89</v>
      </c>
      <c r="H42" s="136"/>
    </row>
    <row r="43" spans="1:8" ht="18.75" customHeight="1" x14ac:dyDescent="0.3">
      <c r="A43" s="287" t="s">
        <v>226</v>
      </c>
      <c r="B43" s="279">
        <f>SUM(B32+B42)</f>
        <v>23111.56</v>
      </c>
      <c r="C43" s="279">
        <f>SUM(C32+C42)</f>
        <v>0</v>
      </c>
      <c r="D43" s="279">
        <f>SUM(D32+D42)</f>
        <v>74306</v>
      </c>
      <c r="E43" s="279">
        <f>SUM(E32+E42)</f>
        <v>5748</v>
      </c>
      <c r="F43" s="279">
        <f>SUM(F32+F42)</f>
        <v>0</v>
      </c>
      <c r="G43" s="364">
        <f t="shared" si="0"/>
        <v>103165.56</v>
      </c>
      <c r="H43" s="136"/>
    </row>
    <row r="44" spans="1:8" ht="18.75" customHeight="1" x14ac:dyDescent="0.3">
      <c r="A44" s="287" t="s">
        <v>227</v>
      </c>
      <c r="B44" s="279">
        <f>SUM(B33-B42)</f>
        <v>-2111.5600000000031</v>
      </c>
      <c r="C44" s="279">
        <f>SUM(C33-C42)</f>
        <v>0</v>
      </c>
      <c r="D44" s="279">
        <f>SUM(D33-D42)</f>
        <v>40294</v>
      </c>
      <c r="E44" s="279">
        <f>SUM(E33-E42)</f>
        <v>6452</v>
      </c>
      <c r="F44" s="279">
        <f>SUM(F33-F42)</f>
        <v>0</v>
      </c>
      <c r="G44" s="364">
        <f t="shared" si="0"/>
        <v>44634.439999999995</v>
      </c>
      <c r="H44" s="136"/>
    </row>
    <row r="45" spans="1:8" ht="18.75" customHeight="1" x14ac:dyDescent="0.3">
      <c r="A45" s="284" t="s">
        <v>228</v>
      </c>
      <c r="B45" s="136"/>
      <c r="C45" s="136"/>
      <c r="D45" s="136"/>
      <c r="E45" s="136"/>
      <c r="F45" s="136"/>
      <c r="G45" s="276"/>
      <c r="H45" s="136"/>
    </row>
    <row r="46" spans="1:8" ht="18.75" customHeight="1" x14ac:dyDescent="0.3">
      <c r="A46" s="344">
        <v>243669</v>
      </c>
      <c r="B46" s="136"/>
      <c r="C46" s="136"/>
      <c r="D46" s="136"/>
      <c r="E46" s="136"/>
      <c r="F46" s="136"/>
      <c r="G46" s="276">
        <f>SUM(B46:F46)</f>
        <v>0</v>
      </c>
      <c r="H46" s="319" t="s">
        <v>370</v>
      </c>
    </row>
    <row r="47" spans="1:8" ht="18.75" customHeight="1" x14ac:dyDescent="0.3">
      <c r="A47" s="344">
        <v>243670</v>
      </c>
      <c r="B47" s="136"/>
      <c r="C47" s="136"/>
      <c r="D47" s="136"/>
      <c r="E47" s="136"/>
      <c r="F47" s="136"/>
      <c r="G47" s="276">
        <f>SUM(B47:F47)</f>
        <v>0</v>
      </c>
      <c r="H47" s="136"/>
    </row>
    <row r="48" spans="1:8" ht="18.75" customHeight="1" x14ac:dyDescent="0.3">
      <c r="A48" s="344">
        <v>243670</v>
      </c>
      <c r="B48" s="136"/>
      <c r="C48" s="136"/>
      <c r="D48" s="136"/>
      <c r="E48" s="136"/>
      <c r="F48" s="136"/>
      <c r="G48" s="276">
        <f>SUM(B48:F48)</f>
        <v>0</v>
      </c>
      <c r="H48" s="136"/>
    </row>
    <row r="51" spans="1:8" ht="18.75" customHeight="1" x14ac:dyDescent="0.3">
      <c r="A51" s="287" t="s">
        <v>229</v>
      </c>
      <c r="B51" s="279">
        <f>SUM(B45:B50)</f>
        <v>0</v>
      </c>
      <c r="C51" s="279">
        <f>SUM(C45:C50)</f>
        <v>0</v>
      </c>
      <c r="D51" s="279">
        <f>SUM(D45:D50)</f>
        <v>0</v>
      </c>
      <c r="E51" s="279">
        <f>SUM(E45:E50)</f>
        <v>0</v>
      </c>
      <c r="F51" s="279">
        <f>SUM(F45:F50)</f>
        <v>0</v>
      </c>
      <c r="G51" s="364">
        <f>SUM(B51:F51)</f>
        <v>0</v>
      </c>
      <c r="H51" s="136"/>
    </row>
    <row r="52" spans="1:8" ht="18.75" customHeight="1" x14ac:dyDescent="0.3">
      <c r="A52" s="287" t="s">
        <v>230</v>
      </c>
      <c r="B52" s="279">
        <f>SUM(B43+B51)</f>
        <v>23111.56</v>
      </c>
      <c r="C52" s="279">
        <f>SUM(C43+C51)</f>
        <v>0</v>
      </c>
      <c r="D52" s="279">
        <f>SUM(D43+D51)</f>
        <v>74306</v>
      </c>
      <c r="E52" s="279">
        <f>SUM(E43+E51)</f>
        <v>5748</v>
      </c>
      <c r="F52" s="279">
        <f>SUM(F43+F51)</f>
        <v>0</v>
      </c>
      <c r="G52" s="364">
        <f>SUM(B52:F52)</f>
        <v>103165.56</v>
      </c>
      <c r="H52" s="136"/>
    </row>
    <row r="53" spans="1:8" ht="18.75" customHeight="1" x14ac:dyDescent="0.3">
      <c r="A53" s="287" t="s">
        <v>231</v>
      </c>
      <c r="B53" s="279">
        <f>SUM(B44-B51)</f>
        <v>-2111.5600000000031</v>
      </c>
      <c r="C53" s="279">
        <f>SUM(C44-C51)</f>
        <v>0</v>
      </c>
      <c r="D53" s="279">
        <f>SUM(D44-D51)</f>
        <v>40294</v>
      </c>
      <c r="E53" s="279">
        <f>SUM(E44-E51)</f>
        <v>6452</v>
      </c>
      <c r="F53" s="279">
        <f>SUM(F44-F51)</f>
        <v>0</v>
      </c>
      <c r="G53" s="364">
        <f>SUM(B53:F53)</f>
        <v>44634.439999999995</v>
      </c>
      <c r="H53" s="136"/>
    </row>
    <row r="54" spans="1:8" ht="18.75" customHeight="1" x14ac:dyDescent="0.3">
      <c r="A54" s="284" t="s">
        <v>232</v>
      </c>
      <c r="B54" s="136"/>
      <c r="C54" s="136"/>
      <c r="D54" s="136"/>
      <c r="E54" s="136"/>
      <c r="F54" s="136"/>
      <c r="G54" s="276"/>
      <c r="H54" s="136"/>
    </row>
    <row r="55" spans="1:8" ht="18.75" customHeight="1" x14ac:dyDescent="0.3">
      <c r="A55" s="281">
        <v>45372</v>
      </c>
      <c r="B55" s="136"/>
      <c r="C55" s="136"/>
      <c r="D55" s="136"/>
      <c r="E55" s="136"/>
      <c r="F55" s="136"/>
      <c r="G55" s="276">
        <f>SUM(B55:F55)</f>
        <v>0</v>
      </c>
      <c r="H55" s="136" t="s">
        <v>371</v>
      </c>
    </row>
    <row r="56" spans="1:8" ht="18.75" customHeight="1" x14ac:dyDescent="0.3">
      <c r="A56" s="281">
        <v>45373</v>
      </c>
      <c r="B56" s="136"/>
      <c r="C56" s="136"/>
      <c r="D56" s="136"/>
      <c r="E56" s="136"/>
      <c r="F56" s="136"/>
      <c r="G56" s="276">
        <f>SUM(B56:F56)</f>
        <v>0</v>
      </c>
      <c r="H56" s="136"/>
    </row>
    <row r="57" spans="1:8" ht="18.75" customHeight="1" x14ac:dyDescent="0.3">
      <c r="A57" s="281">
        <v>45373</v>
      </c>
      <c r="B57" s="136"/>
      <c r="C57" s="136"/>
      <c r="D57" s="136"/>
      <c r="E57" s="136"/>
      <c r="F57" s="136"/>
      <c r="G57" s="276">
        <f>SUM(B57:F57)</f>
        <v>0</v>
      </c>
      <c r="H57" s="136"/>
    </row>
    <row r="58" spans="1:8" ht="18.75" customHeight="1" x14ac:dyDescent="0.3">
      <c r="A58" s="281"/>
      <c r="B58" s="136"/>
      <c r="C58" s="136"/>
      <c r="D58" s="136"/>
      <c r="E58" s="136"/>
      <c r="F58" s="136"/>
      <c r="G58" s="276"/>
      <c r="H58" s="136"/>
    </row>
    <row r="59" spans="1:8" ht="18.75" customHeight="1" x14ac:dyDescent="0.3">
      <c r="A59" s="281"/>
      <c r="B59" s="136"/>
      <c r="C59" s="136"/>
      <c r="D59" s="136"/>
      <c r="E59" s="136"/>
      <c r="F59" s="136"/>
      <c r="G59" s="276"/>
      <c r="H59" s="136"/>
    </row>
    <row r="60" spans="1:8" ht="18.75" customHeight="1" x14ac:dyDescent="0.3">
      <c r="A60" s="281"/>
      <c r="B60" s="136"/>
      <c r="C60" s="136"/>
      <c r="D60" s="136"/>
      <c r="E60" s="136"/>
      <c r="F60" s="136"/>
      <c r="G60" s="276"/>
      <c r="H60" s="138"/>
    </row>
    <row r="61" spans="1:8" ht="18.75" customHeight="1" x14ac:dyDescent="0.3">
      <c r="A61" s="287" t="s">
        <v>233</v>
      </c>
      <c r="B61" s="279">
        <f>SUM(B54:B60)</f>
        <v>0</v>
      </c>
      <c r="C61" s="279">
        <f>SUM(C54:C60)</f>
        <v>0</v>
      </c>
      <c r="D61" s="279">
        <f>SUM(D54:D60)</f>
        <v>0</v>
      </c>
      <c r="E61" s="279">
        <f>SUM(E54:E60)</f>
        <v>0</v>
      </c>
      <c r="F61" s="279">
        <f>SUM(F54:F60)</f>
        <v>0</v>
      </c>
      <c r="G61" s="364">
        <f>SUM(B61:F61)</f>
        <v>0</v>
      </c>
      <c r="H61" s="136"/>
    </row>
    <row r="62" spans="1:8" ht="18.75" customHeight="1" x14ac:dyDescent="0.3">
      <c r="A62" s="287" t="s">
        <v>234</v>
      </c>
      <c r="B62" s="279">
        <f>SUM(B52+B61)</f>
        <v>23111.56</v>
      </c>
      <c r="C62" s="279">
        <f>SUM(C52+C61)</f>
        <v>0</v>
      </c>
      <c r="D62" s="279">
        <f>SUM(D52+D61)</f>
        <v>74306</v>
      </c>
      <c r="E62" s="279">
        <f>SUM(E52+E61)</f>
        <v>5748</v>
      </c>
      <c r="F62" s="279">
        <f>SUM(F52+F61)</f>
        <v>0</v>
      </c>
      <c r="G62" s="364">
        <f>SUM(B62:F62)</f>
        <v>103165.56</v>
      </c>
      <c r="H62" s="136"/>
    </row>
    <row r="63" spans="1:8" ht="18.75" customHeight="1" x14ac:dyDescent="0.3">
      <c r="A63" s="287" t="s">
        <v>235</v>
      </c>
      <c r="B63" s="279">
        <f>SUM(B53-B61)</f>
        <v>-2111.5600000000031</v>
      </c>
      <c r="C63" s="279">
        <f>SUM(C53-C61)</f>
        <v>0</v>
      </c>
      <c r="D63" s="279">
        <f>SUM(D53-D61)</f>
        <v>40294</v>
      </c>
      <c r="E63" s="279">
        <f>SUM(E53-E61)</f>
        <v>6452</v>
      </c>
      <c r="F63" s="279">
        <f>SUM(F53-F61)</f>
        <v>0</v>
      </c>
      <c r="G63" s="364">
        <f>SUM(B63:F63)</f>
        <v>44634.439999999995</v>
      </c>
      <c r="H63" s="136"/>
    </row>
    <row r="64" spans="1:8" ht="18.75" customHeight="1" x14ac:dyDescent="0.3">
      <c r="A64" s="284" t="s">
        <v>236</v>
      </c>
      <c r="B64" s="136"/>
      <c r="C64" s="136"/>
      <c r="D64" s="136"/>
      <c r="E64" s="136"/>
      <c r="F64" s="136"/>
      <c r="G64" s="276"/>
      <c r="H64" s="136"/>
    </row>
    <row r="65" spans="1:8" ht="18.75" customHeight="1" x14ac:dyDescent="0.3">
      <c r="A65" s="344">
        <v>45404</v>
      </c>
      <c r="B65" s="136"/>
      <c r="C65" s="136"/>
      <c r="D65" s="136"/>
      <c r="E65" s="136"/>
      <c r="F65" s="136"/>
      <c r="G65" s="276">
        <f>SUM(B65:F65)</f>
        <v>0</v>
      </c>
      <c r="H65" s="319" t="s">
        <v>372</v>
      </c>
    </row>
    <row r="66" spans="1:8" ht="18.75" customHeight="1" x14ac:dyDescent="0.3">
      <c r="A66" s="281">
        <v>45406</v>
      </c>
      <c r="B66" s="136"/>
      <c r="C66" s="136"/>
      <c r="D66" s="136"/>
      <c r="E66" s="136"/>
      <c r="F66" s="136"/>
      <c r="G66" s="276">
        <f>SUM(B66:F66)</f>
        <v>0</v>
      </c>
      <c r="H66" s="136"/>
    </row>
    <row r="67" spans="1:8" ht="18.75" customHeight="1" x14ac:dyDescent="0.3">
      <c r="A67" s="281">
        <v>45406</v>
      </c>
      <c r="B67" s="136"/>
      <c r="C67" s="136"/>
      <c r="D67" s="136"/>
      <c r="E67" s="136"/>
      <c r="F67" s="136"/>
      <c r="G67" s="276">
        <f>SUM(B67:F67)</f>
        <v>0</v>
      </c>
      <c r="H67" s="136"/>
    </row>
    <row r="68" spans="1:8" ht="18.75" customHeight="1" x14ac:dyDescent="0.3">
      <c r="A68" s="281"/>
      <c r="B68" s="136"/>
      <c r="C68" s="136"/>
      <c r="D68" s="136"/>
      <c r="E68" s="136"/>
      <c r="F68" s="136"/>
      <c r="G68" s="276"/>
      <c r="H68" s="136"/>
    </row>
    <row r="69" spans="1:8" ht="18.75" customHeight="1" x14ac:dyDescent="0.3">
      <c r="A69" s="281"/>
      <c r="B69" s="136"/>
      <c r="C69" s="136"/>
      <c r="D69" s="136"/>
      <c r="E69" s="136"/>
      <c r="F69" s="136"/>
      <c r="G69" s="276"/>
      <c r="H69" s="138"/>
    </row>
    <row r="70" spans="1:8" ht="18.75" customHeight="1" x14ac:dyDescent="0.3">
      <c r="A70" s="287" t="s">
        <v>237</v>
      </c>
      <c r="B70" s="279">
        <f>SUM(B64:B69)</f>
        <v>0</v>
      </c>
      <c r="C70" s="279">
        <f>SUM(C64:C69)</f>
        <v>0</v>
      </c>
      <c r="D70" s="279">
        <f>SUM(D64:D69)</f>
        <v>0</v>
      </c>
      <c r="E70" s="279">
        <f>SUM(E64:E69)</f>
        <v>0</v>
      </c>
      <c r="F70" s="279">
        <f>SUM(F64:F69)</f>
        <v>0</v>
      </c>
      <c r="G70" s="364">
        <f>SUM(B70:F70)</f>
        <v>0</v>
      </c>
      <c r="H70" s="136"/>
    </row>
    <row r="71" spans="1:8" ht="18.75" customHeight="1" x14ac:dyDescent="0.3">
      <c r="A71" s="287" t="s">
        <v>238</v>
      </c>
      <c r="B71" s="279">
        <f>SUM(B62+B70)</f>
        <v>23111.56</v>
      </c>
      <c r="C71" s="279">
        <f>SUM(C62+C70)</f>
        <v>0</v>
      </c>
      <c r="D71" s="279">
        <f>SUM(D62+D70)</f>
        <v>74306</v>
      </c>
      <c r="E71" s="279">
        <f>SUM(E62+E70)</f>
        <v>5748</v>
      </c>
      <c r="F71" s="279">
        <f>SUM(F62+F70)</f>
        <v>0</v>
      </c>
      <c r="G71" s="364">
        <f>SUM(B71:F71)</f>
        <v>103165.56</v>
      </c>
      <c r="H71" s="136"/>
    </row>
    <row r="72" spans="1:8" ht="18.75" customHeight="1" x14ac:dyDescent="0.3">
      <c r="A72" s="287" t="s">
        <v>239</v>
      </c>
      <c r="B72" s="279">
        <f>SUM(B63-B70)</f>
        <v>-2111.5600000000031</v>
      </c>
      <c r="C72" s="279">
        <f>SUM(C63-C70)</f>
        <v>0</v>
      </c>
      <c r="D72" s="279">
        <f>SUM(D63-D70)+69800</f>
        <v>110094</v>
      </c>
      <c r="E72" s="279">
        <f>SUM(E63-E70)+3700</f>
        <v>10152</v>
      </c>
      <c r="F72" s="279">
        <f>SUM(F63-F70)+926600</f>
        <v>926600</v>
      </c>
      <c r="G72" s="364">
        <f>SUM(B72:F72)</f>
        <v>1044734.44</v>
      </c>
      <c r="H72" s="136"/>
    </row>
    <row r="73" spans="1:8" ht="18.75" customHeight="1" x14ac:dyDescent="0.3">
      <c r="A73" s="284" t="s">
        <v>240</v>
      </c>
      <c r="B73" s="136"/>
      <c r="C73" s="136"/>
      <c r="D73" s="136"/>
      <c r="E73" s="136"/>
      <c r="F73" s="136"/>
      <c r="G73" s="276"/>
      <c r="H73" s="136"/>
    </row>
    <row r="74" spans="1:8" ht="18.75" customHeight="1" x14ac:dyDescent="0.3">
      <c r="A74" s="281">
        <v>45435</v>
      </c>
      <c r="B74" s="136"/>
      <c r="C74" s="136"/>
      <c r="D74" s="136"/>
      <c r="E74" s="136"/>
      <c r="F74" s="136"/>
      <c r="G74" s="276">
        <f>SUM(B74:F74)</f>
        <v>0</v>
      </c>
      <c r="H74" s="136" t="s">
        <v>373</v>
      </c>
    </row>
    <row r="75" spans="1:8" ht="18.75" customHeight="1" x14ac:dyDescent="0.3">
      <c r="A75" s="281">
        <v>45436</v>
      </c>
      <c r="B75" s="136"/>
      <c r="C75" s="136"/>
      <c r="D75" s="136"/>
      <c r="E75" s="136"/>
      <c r="F75" s="136"/>
      <c r="G75" s="276">
        <f>SUM(B75:F75)</f>
        <v>0</v>
      </c>
      <c r="H75" s="136"/>
    </row>
    <row r="76" spans="1:8" ht="18.75" customHeight="1" x14ac:dyDescent="0.3">
      <c r="A76" s="281">
        <v>45436</v>
      </c>
      <c r="B76" s="136"/>
      <c r="C76" s="136"/>
      <c r="D76" s="136"/>
      <c r="E76" s="136"/>
      <c r="F76" s="136"/>
      <c r="G76" s="276">
        <f>SUM(B76:F76)</f>
        <v>0</v>
      </c>
      <c r="H76" s="136"/>
    </row>
    <row r="77" spans="1:8" ht="18.75" customHeight="1" x14ac:dyDescent="0.3">
      <c r="A77" s="281"/>
      <c r="B77" s="136"/>
      <c r="C77" s="136"/>
      <c r="D77" s="136"/>
      <c r="E77" s="136"/>
      <c r="F77" s="136"/>
      <c r="G77" s="276"/>
      <c r="H77" s="136"/>
    </row>
    <row r="78" spans="1:8" ht="18.75" customHeight="1" x14ac:dyDescent="0.3">
      <c r="A78" s="281"/>
      <c r="B78" s="136"/>
      <c r="C78" s="136"/>
      <c r="D78" s="136"/>
      <c r="E78" s="136"/>
      <c r="F78" s="136"/>
      <c r="G78" s="276"/>
      <c r="H78" s="136"/>
    </row>
    <row r="79" spans="1:8" ht="18.75" customHeight="1" x14ac:dyDescent="0.3">
      <c r="A79" s="281"/>
      <c r="B79" s="136"/>
      <c r="C79" s="136"/>
      <c r="D79" s="136"/>
      <c r="E79" s="136"/>
      <c r="F79" s="136"/>
      <c r="G79" s="276"/>
      <c r="H79" s="138"/>
    </row>
    <row r="80" spans="1:8" ht="18.75" customHeight="1" x14ac:dyDescent="0.3">
      <c r="A80" s="287" t="s">
        <v>241</v>
      </c>
      <c r="B80" s="279">
        <f>SUM(B73:B79)</f>
        <v>0</v>
      </c>
      <c r="C80" s="279">
        <f>SUM(C73:C79)</f>
        <v>0</v>
      </c>
      <c r="D80" s="279">
        <f>SUM(D73:D79)</f>
        <v>0</v>
      </c>
      <c r="E80" s="279">
        <f>SUM(E73:E79)</f>
        <v>0</v>
      </c>
      <c r="F80" s="279">
        <f>SUM(F73:F79)</f>
        <v>0</v>
      </c>
      <c r="G80" s="364">
        <f>SUM(B80:F80)</f>
        <v>0</v>
      </c>
      <c r="H80" s="136"/>
    </row>
    <row r="81" spans="1:8" ht="18.75" customHeight="1" x14ac:dyDescent="0.3">
      <c r="A81" s="287" t="s">
        <v>242</v>
      </c>
      <c r="B81" s="279">
        <f>SUM(B71+B80)</f>
        <v>23111.56</v>
      </c>
      <c r="C81" s="279">
        <f>SUM(C71+C80)</f>
        <v>0</v>
      </c>
      <c r="D81" s="279">
        <f>SUM(D71+D80)</f>
        <v>74306</v>
      </c>
      <c r="E81" s="279">
        <f>SUM(E71+E80)</f>
        <v>5748</v>
      </c>
      <c r="F81" s="279">
        <f>SUM(F71+F80)</f>
        <v>0</v>
      </c>
      <c r="G81" s="364">
        <f>SUM(B81:F81)</f>
        <v>103165.56</v>
      </c>
      <c r="H81" s="136"/>
    </row>
    <row r="82" spans="1:8" ht="18.75" customHeight="1" x14ac:dyDescent="0.3">
      <c r="A82" s="287" t="s">
        <v>243</v>
      </c>
      <c r="B82" s="279">
        <f>SUM(B72-B80)</f>
        <v>-2111.5600000000031</v>
      </c>
      <c r="C82" s="279">
        <f>SUM(C72-C80)</f>
        <v>0</v>
      </c>
      <c r="D82" s="279">
        <f>SUM(D72-D80)</f>
        <v>110094</v>
      </c>
      <c r="E82" s="279">
        <f>SUM(E72-E80)</f>
        <v>10152</v>
      </c>
      <c r="F82" s="279">
        <f>SUM(F72-F80)</f>
        <v>926600</v>
      </c>
      <c r="G82" s="364">
        <f>SUM(B82:F82)</f>
        <v>1044734.44</v>
      </c>
      <c r="H82" s="136"/>
    </row>
    <row r="83" spans="1:8" ht="18.75" customHeight="1" x14ac:dyDescent="0.3">
      <c r="A83" s="284" t="s">
        <v>244</v>
      </c>
      <c r="B83" s="136"/>
      <c r="C83" s="136"/>
      <c r="D83" s="136"/>
      <c r="E83" s="136"/>
      <c r="F83" s="136"/>
      <c r="G83" s="276"/>
      <c r="H83" s="136"/>
    </row>
    <row r="84" spans="1:8" ht="18.75" customHeight="1" x14ac:dyDescent="0.3">
      <c r="A84" s="342" t="s">
        <v>263</v>
      </c>
      <c r="B84" s="136"/>
      <c r="C84" s="136"/>
      <c r="D84" s="136"/>
      <c r="E84" s="136"/>
      <c r="F84" s="136"/>
      <c r="G84" s="276">
        <f>SUM(B84:F84)</f>
        <v>0</v>
      </c>
      <c r="H84" s="136" t="s">
        <v>266</v>
      </c>
    </row>
    <row r="85" spans="1:8" ht="18.75" customHeight="1" x14ac:dyDescent="0.3">
      <c r="A85" s="281" t="s">
        <v>374</v>
      </c>
      <c r="B85" s="35"/>
      <c r="C85" s="136"/>
      <c r="D85" s="136"/>
      <c r="E85" s="136"/>
      <c r="F85" s="136"/>
      <c r="G85" s="276">
        <f>SUM(B85:F85)</f>
        <v>0</v>
      </c>
      <c r="H85" s="136"/>
    </row>
    <row r="86" spans="1:8" ht="18.75" customHeight="1" x14ac:dyDescent="0.3">
      <c r="A86" s="281" t="s">
        <v>267</v>
      </c>
      <c r="B86" s="35"/>
      <c r="C86" s="136"/>
      <c r="D86" s="136"/>
      <c r="E86" s="136"/>
      <c r="F86" s="136"/>
      <c r="G86" s="276">
        <f>SUM(B86:F86)</f>
        <v>0</v>
      </c>
      <c r="H86" s="136"/>
    </row>
    <row r="87" spans="1:8" ht="18.75" customHeight="1" x14ac:dyDescent="0.3">
      <c r="A87" s="281"/>
      <c r="B87" s="136"/>
      <c r="C87" s="136"/>
      <c r="D87" s="136"/>
      <c r="E87" s="136"/>
      <c r="F87" s="136"/>
      <c r="G87" s="276">
        <f>SUM(B87:F87)</f>
        <v>0</v>
      </c>
      <c r="H87" s="136"/>
    </row>
    <row r="88" spans="1:8" ht="18.75" customHeight="1" x14ac:dyDescent="0.3">
      <c r="A88" s="281"/>
      <c r="B88" s="136"/>
      <c r="C88" s="136"/>
      <c r="D88" s="136"/>
      <c r="E88" s="136"/>
      <c r="F88" s="136"/>
      <c r="G88" s="276"/>
      <c r="H88" s="138"/>
    </row>
    <row r="89" spans="1:8" ht="18.75" customHeight="1" x14ac:dyDescent="0.3">
      <c r="A89" s="287" t="s">
        <v>245</v>
      </c>
      <c r="B89" s="279">
        <f>SUM(B83:B88)</f>
        <v>0</v>
      </c>
      <c r="C89" s="279">
        <f>SUM(C83:C88)</f>
        <v>0</v>
      </c>
      <c r="D89" s="279">
        <f>SUM(D83:D88)</f>
        <v>0</v>
      </c>
      <c r="E89" s="279">
        <f>SUM(E83:E88)</f>
        <v>0</v>
      </c>
      <c r="F89" s="279">
        <f>SUM(F83:F88)</f>
        <v>0</v>
      </c>
      <c r="G89" s="364">
        <f>SUM(B89:F89)</f>
        <v>0</v>
      </c>
      <c r="H89" s="136"/>
    </row>
    <row r="90" spans="1:8" ht="18.75" customHeight="1" x14ac:dyDescent="0.3">
      <c r="A90" s="287" t="s">
        <v>246</v>
      </c>
      <c r="B90" s="279">
        <f>SUM(B81+B89)</f>
        <v>23111.56</v>
      </c>
      <c r="C90" s="279">
        <f>SUM(C81+C89)</f>
        <v>0</v>
      </c>
      <c r="D90" s="279">
        <f>SUM(D81+D89)</f>
        <v>74306</v>
      </c>
      <c r="E90" s="279">
        <f>SUM(E81+E89)</f>
        <v>5748</v>
      </c>
      <c r="F90" s="279">
        <f>SUM(F81+F89)</f>
        <v>0</v>
      </c>
      <c r="G90" s="364">
        <f>SUM(B90:F90)</f>
        <v>103165.56</v>
      </c>
      <c r="H90" s="136"/>
    </row>
    <row r="91" spans="1:8" ht="18.75" customHeight="1" x14ac:dyDescent="0.3">
      <c r="A91" s="287" t="s">
        <v>247</v>
      </c>
      <c r="B91" s="279">
        <f>SUM(B82-B89)</f>
        <v>-2111.5600000000031</v>
      </c>
      <c r="C91" s="279">
        <f>SUM(C82-C89)</f>
        <v>0</v>
      </c>
      <c r="D91" s="279">
        <f>SUM(D82-D89)</f>
        <v>110094</v>
      </c>
      <c r="E91" s="279">
        <f>SUM(E82-E89)</f>
        <v>10152</v>
      </c>
      <c r="F91" s="279">
        <f>SUM(F82-F89)</f>
        <v>926600</v>
      </c>
      <c r="G91" s="364">
        <f>SUM(B91:F91)</f>
        <v>1044734.44</v>
      </c>
      <c r="H91" s="136"/>
    </row>
    <row r="92" spans="1:8" ht="18.75" customHeight="1" x14ac:dyDescent="0.3">
      <c r="A92" s="284" t="s">
        <v>248</v>
      </c>
      <c r="B92" s="136"/>
      <c r="C92" s="136"/>
      <c r="D92" s="136"/>
      <c r="E92" s="136"/>
      <c r="F92" s="136"/>
      <c r="G92" s="276"/>
      <c r="H92" s="136"/>
    </row>
    <row r="93" spans="1:8" ht="18.75" customHeight="1" x14ac:dyDescent="0.3">
      <c r="A93" s="342">
        <v>45492</v>
      </c>
      <c r="B93" s="136"/>
      <c r="C93" s="136"/>
      <c r="D93" s="136"/>
      <c r="E93" s="136"/>
      <c r="F93" s="136"/>
      <c r="G93" s="276">
        <f>SUM(B93:F93)</f>
        <v>0</v>
      </c>
      <c r="H93" s="136" t="s">
        <v>268</v>
      </c>
    </row>
    <row r="94" spans="1:8" ht="18.75" customHeight="1" x14ac:dyDescent="0.3">
      <c r="A94" s="281">
        <v>45496</v>
      </c>
      <c r="B94" s="62"/>
      <c r="C94" s="136"/>
      <c r="D94" s="136"/>
      <c r="E94" s="136"/>
      <c r="F94" s="136"/>
      <c r="G94" s="276">
        <f>SUM(B94:F94)</f>
        <v>0</v>
      </c>
      <c r="H94" s="136"/>
    </row>
    <row r="95" spans="1:8" ht="18.75" customHeight="1" x14ac:dyDescent="0.3">
      <c r="A95" s="281">
        <v>45496</v>
      </c>
      <c r="B95" s="62"/>
      <c r="C95" s="136"/>
      <c r="D95" s="136"/>
      <c r="E95" s="136"/>
      <c r="F95" s="136"/>
      <c r="G95" s="276">
        <f>SUM(B95:F95)</f>
        <v>0</v>
      </c>
      <c r="H95" s="136"/>
    </row>
    <row r="99" spans="1:8" ht="18.75" customHeight="1" x14ac:dyDescent="0.3">
      <c r="A99" s="287" t="s">
        <v>249</v>
      </c>
      <c r="B99" s="279">
        <f>SUM(B92:B98)</f>
        <v>0</v>
      </c>
      <c r="C99" s="279">
        <f>SUM(C92:C98)</f>
        <v>0</v>
      </c>
      <c r="D99" s="279">
        <f>SUM(D92:D98)</f>
        <v>0</v>
      </c>
      <c r="E99" s="279">
        <f>SUM(E92:E98)</f>
        <v>0</v>
      </c>
      <c r="F99" s="279">
        <f>SUM(F92:F98)</f>
        <v>0</v>
      </c>
      <c r="G99" s="364">
        <f>SUM(B99:F99)</f>
        <v>0</v>
      </c>
      <c r="H99" s="136"/>
    </row>
    <row r="100" spans="1:8" ht="18.75" customHeight="1" x14ac:dyDescent="0.3">
      <c r="A100" s="287" t="s">
        <v>250</v>
      </c>
      <c r="B100" s="279">
        <f>SUM(B90+B99)</f>
        <v>23111.56</v>
      </c>
      <c r="C100" s="279">
        <f>SUM(C90+C99)</f>
        <v>0</v>
      </c>
      <c r="D100" s="279">
        <f>SUM(D90+D99)</f>
        <v>74306</v>
      </c>
      <c r="E100" s="279">
        <f>SUM(E90+E99)</f>
        <v>5748</v>
      </c>
      <c r="F100" s="279">
        <f>SUM(F90+F99)</f>
        <v>0</v>
      </c>
      <c r="G100" s="364">
        <f>SUM(B100:F100)</f>
        <v>103165.56</v>
      </c>
      <c r="H100" s="136"/>
    </row>
    <row r="101" spans="1:8" ht="18.75" customHeight="1" x14ac:dyDescent="0.3">
      <c r="A101" s="287" t="s">
        <v>251</v>
      </c>
      <c r="B101" s="279">
        <f>SUM(B91-B99)</f>
        <v>-2111.5600000000031</v>
      </c>
      <c r="C101" s="279">
        <f>SUM(C91-C99)</f>
        <v>0</v>
      </c>
      <c r="D101" s="279">
        <f>SUM(D91-D99)</f>
        <v>110094</v>
      </c>
      <c r="E101" s="279">
        <f>SUM(E91-E99)</f>
        <v>10152</v>
      </c>
      <c r="F101" s="279">
        <f>SUM(F91-F99)</f>
        <v>926600</v>
      </c>
      <c r="G101" s="364">
        <f>SUM(B101:F101)</f>
        <v>1044734.44</v>
      </c>
      <c r="H101" s="136"/>
    </row>
    <row r="102" spans="1:8" ht="18.75" customHeight="1" x14ac:dyDescent="0.3">
      <c r="A102" s="284" t="s">
        <v>252</v>
      </c>
      <c r="B102" s="136"/>
      <c r="C102" s="136"/>
      <c r="D102" s="136"/>
      <c r="E102" s="136"/>
      <c r="F102" s="136"/>
      <c r="G102" s="276"/>
      <c r="H102" s="136"/>
    </row>
    <row r="103" spans="1:8" ht="18.75" customHeight="1" x14ac:dyDescent="0.3">
      <c r="A103" s="281">
        <v>45526</v>
      </c>
      <c r="B103" s="136"/>
      <c r="C103" s="136"/>
      <c r="D103" s="136"/>
      <c r="E103" s="136"/>
      <c r="F103" s="136"/>
      <c r="G103" s="276">
        <f>SUM(B103:F103)</f>
        <v>0</v>
      </c>
      <c r="H103" s="136" t="s">
        <v>269</v>
      </c>
    </row>
    <row r="104" spans="1:8" ht="18.75" customHeight="1" x14ac:dyDescent="0.3">
      <c r="A104" s="281">
        <v>45526</v>
      </c>
      <c r="B104" s="136"/>
      <c r="C104" s="136"/>
      <c r="D104" s="136"/>
      <c r="E104" s="136"/>
      <c r="F104" s="136"/>
      <c r="G104" s="276">
        <f t="shared" ref="G104:G105" si="1">SUM(B104:F104)</f>
        <v>0</v>
      </c>
      <c r="H104" s="136"/>
    </row>
    <row r="105" spans="1:8" ht="18.75" customHeight="1" x14ac:dyDescent="0.3">
      <c r="A105" s="281">
        <v>45526</v>
      </c>
      <c r="B105" s="136"/>
      <c r="C105" s="136"/>
      <c r="D105" s="136"/>
      <c r="E105" s="136"/>
      <c r="F105" s="136"/>
      <c r="G105" s="276">
        <f t="shared" si="1"/>
        <v>0</v>
      </c>
      <c r="H105" s="136"/>
    </row>
    <row r="106" spans="1:8" ht="18.75" customHeight="1" x14ac:dyDescent="0.3">
      <c r="A106" s="281"/>
      <c r="B106" s="136"/>
      <c r="C106" s="136"/>
      <c r="D106" s="136"/>
      <c r="E106" s="136"/>
      <c r="F106" s="136"/>
      <c r="G106" s="276"/>
      <c r="H106" s="136"/>
    </row>
    <row r="107" spans="1:8" ht="18.75" customHeight="1" x14ac:dyDescent="0.3">
      <c r="A107" s="281"/>
      <c r="B107" s="136"/>
      <c r="C107" s="136"/>
      <c r="D107" s="136"/>
      <c r="E107" s="136"/>
      <c r="F107" s="136"/>
      <c r="G107" s="276"/>
      <c r="H107" s="138"/>
    </row>
    <row r="108" spans="1:8" ht="18.75" customHeight="1" x14ac:dyDescent="0.3">
      <c r="A108" s="287" t="s">
        <v>253</v>
      </c>
      <c r="B108" s="279">
        <f>SUM(B102:B107)</f>
        <v>0</v>
      </c>
      <c r="C108" s="279">
        <f>SUM(C102:C107)</f>
        <v>0</v>
      </c>
      <c r="D108" s="279">
        <f>SUM(D102:D107)</f>
        <v>0</v>
      </c>
      <c r="E108" s="279">
        <f>SUM(E102:E107)</f>
        <v>0</v>
      </c>
      <c r="F108" s="279">
        <f>SUM(F102:F107)</f>
        <v>0</v>
      </c>
      <c r="G108" s="364">
        <f>SUM(B108:F108)</f>
        <v>0</v>
      </c>
      <c r="H108" s="136"/>
    </row>
    <row r="109" spans="1:8" ht="18.75" customHeight="1" x14ac:dyDescent="0.3">
      <c r="A109" s="287" t="s">
        <v>254</v>
      </c>
      <c r="B109" s="279">
        <f>SUM(B100+B108)</f>
        <v>23111.56</v>
      </c>
      <c r="C109" s="279">
        <f>SUM(C100+C108)</f>
        <v>0</v>
      </c>
      <c r="D109" s="279">
        <f>SUM(D100+D108)</f>
        <v>74306</v>
      </c>
      <c r="E109" s="279">
        <f>SUM(E100+E108)</f>
        <v>5748</v>
      </c>
      <c r="F109" s="279">
        <f>SUM(F100+F108)</f>
        <v>0</v>
      </c>
      <c r="G109" s="364">
        <f>SUM(B109:F109)</f>
        <v>103165.56</v>
      </c>
      <c r="H109" s="136"/>
    </row>
    <row r="110" spans="1:8" ht="18.75" customHeight="1" x14ac:dyDescent="0.3">
      <c r="A110" s="287" t="s">
        <v>255</v>
      </c>
      <c r="B110" s="279">
        <f>SUM(B101-B108)</f>
        <v>-2111.5600000000031</v>
      </c>
      <c r="C110" s="279">
        <f>SUM(C101-C108)</f>
        <v>0</v>
      </c>
      <c r="D110" s="279">
        <f>SUM(D101-D108)</f>
        <v>110094</v>
      </c>
      <c r="E110" s="279">
        <f>SUM(E101-E108)</f>
        <v>10152</v>
      </c>
      <c r="F110" s="279">
        <f>SUM(F101-F108)</f>
        <v>926600</v>
      </c>
      <c r="G110" s="364">
        <f>SUM(B110:F110)</f>
        <v>1044734.44</v>
      </c>
      <c r="H110" s="136"/>
    </row>
    <row r="111" spans="1:8" ht="18.75" customHeight="1" x14ac:dyDescent="0.3">
      <c r="A111" s="284" t="s">
        <v>256</v>
      </c>
      <c r="B111" s="136"/>
      <c r="C111" s="136"/>
      <c r="D111" s="136"/>
      <c r="E111" s="136"/>
      <c r="F111" s="136"/>
      <c r="G111" s="276"/>
      <c r="H111" s="136"/>
    </row>
    <row r="112" spans="1:8" ht="18.75" customHeight="1" x14ac:dyDescent="0.3">
      <c r="A112" s="281">
        <v>45548</v>
      </c>
      <c r="B112" s="136"/>
      <c r="C112" s="136"/>
      <c r="D112" s="136"/>
      <c r="E112" s="136"/>
      <c r="F112" s="136"/>
      <c r="G112" s="276">
        <f>SUM(B112:F112)</f>
        <v>0</v>
      </c>
      <c r="H112" s="136"/>
    </row>
    <row r="113" spans="1:7" ht="18.75" customHeight="1" x14ac:dyDescent="0.3">
      <c r="A113" s="281">
        <v>45548</v>
      </c>
      <c r="B113" s="136"/>
      <c r="C113" s="136"/>
      <c r="D113" s="136"/>
      <c r="E113" s="136"/>
      <c r="F113" s="136"/>
      <c r="G113" s="276">
        <f t="shared" ref="G113" si="2">SUM(B113:F113)</f>
        <v>0</v>
      </c>
    </row>
    <row r="114" spans="1:7" ht="18.75" customHeight="1" x14ac:dyDescent="0.3">
      <c r="A114" s="281">
        <v>45548</v>
      </c>
      <c r="B114" s="136"/>
      <c r="C114" s="136"/>
      <c r="D114" s="136"/>
      <c r="E114" s="136"/>
      <c r="F114" s="136"/>
      <c r="G114" s="276">
        <f>SUM(B114:F114)</f>
        <v>0</v>
      </c>
    </row>
    <row r="115" spans="1:7" ht="18.75" customHeight="1" x14ac:dyDescent="0.3">
      <c r="A115" s="281">
        <v>45546</v>
      </c>
      <c r="B115" s="136"/>
      <c r="C115" s="136"/>
      <c r="D115" s="136"/>
      <c r="E115" s="136"/>
      <c r="F115" s="136"/>
      <c r="G115" s="276">
        <f>SUM(B115:F115)</f>
        <v>0</v>
      </c>
    </row>
    <row r="116" spans="1:7" ht="18.75" customHeight="1" x14ac:dyDescent="0.3">
      <c r="A116" s="281"/>
      <c r="B116" s="136"/>
      <c r="C116" s="136"/>
      <c r="D116" s="136"/>
      <c r="E116" s="136"/>
      <c r="F116" s="136"/>
      <c r="G116" s="276"/>
    </row>
    <row r="117" spans="1:7" ht="18.75" customHeight="1" x14ac:dyDescent="0.3">
      <c r="A117" s="281"/>
      <c r="B117" s="136"/>
      <c r="C117" s="136"/>
      <c r="D117" s="136"/>
      <c r="E117" s="136"/>
      <c r="F117" s="136"/>
      <c r="G117" s="276"/>
    </row>
    <row r="118" spans="1:7" ht="18.75" customHeight="1" x14ac:dyDescent="0.3">
      <c r="A118" s="281"/>
      <c r="B118" s="136"/>
      <c r="C118" s="136"/>
      <c r="D118" s="136"/>
      <c r="E118" s="136"/>
      <c r="F118" s="136"/>
      <c r="G118" s="276"/>
    </row>
    <row r="119" spans="1:7" ht="18.75" customHeight="1" x14ac:dyDescent="0.3">
      <c r="A119" s="287" t="s">
        <v>257</v>
      </c>
      <c r="B119" s="279">
        <f>SUM(B111:B118)</f>
        <v>0</v>
      </c>
      <c r="C119" s="279">
        <f>SUM(C111:C118)</f>
        <v>0</v>
      </c>
      <c r="D119" s="279">
        <f>SUM(D111:D118)</f>
        <v>0</v>
      </c>
      <c r="E119" s="279">
        <f>SUM(E111:E118)</f>
        <v>0</v>
      </c>
      <c r="F119" s="279">
        <f>SUM(F111:F118)</f>
        <v>0</v>
      </c>
      <c r="G119" s="364">
        <f>SUM(B119:F119)</f>
        <v>0</v>
      </c>
    </row>
    <row r="120" spans="1:7" ht="18.75" customHeight="1" x14ac:dyDescent="0.3">
      <c r="A120" s="287" t="s">
        <v>258</v>
      </c>
      <c r="B120" s="279">
        <f>SUM(B109+B119)</f>
        <v>23111.56</v>
      </c>
      <c r="C120" s="279">
        <f>SUM(C109+C119)</f>
        <v>0</v>
      </c>
      <c r="D120" s="279">
        <f>SUM(D109+D119)</f>
        <v>74306</v>
      </c>
      <c r="E120" s="279">
        <f>SUM(E109+E119)</f>
        <v>5748</v>
      </c>
      <c r="F120" s="279">
        <f>SUM(F109+F119)</f>
        <v>0</v>
      </c>
      <c r="G120" s="364">
        <f>SUM(B120:F120)</f>
        <v>103165.56</v>
      </c>
    </row>
    <row r="121" spans="1:7" ht="18.75" customHeight="1" x14ac:dyDescent="0.3">
      <c r="A121" s="287" t="s">
        <v>259</v>
      </c>
      <c r="B121" s="279">
        <f>SUM(B110-B119)</f>
        <v>-2111.5600000000031</v>
      </c>
      <c r="C121" s="279">
        <f>SUM(C110-C119)</f>
        <v>0</v>
      </c>
      <c r="D121" s="279">
        <f>SUM(D110-D119)</f>
        <v>110094</v>
      </c>
      <c r="E121" s="279">
        <f>SUM(E110-E119)</f>
        <v>10152</v>
      </c>
      <c r="F121" s="279">
        <f>SUM(F110-F119)</f>
        <v>926600</v>
      </c>
      <c r="G121" s="364">
        <f>SUM(B121:F121)</f>
        <v>1044734.44</v>
      </c>
    </row>
  </sheetData>
  <mergeCells count="5">
    <mergeCell ref="B2:B3"/>
    <mergeCell ref="D2:D3"/>
    <mergeCell ref="E2:E3"/>
    <mergeCell ref="F2:F3"/>
    <mergeCell ref="G2:G3"/>
  </mergeCells>
  <conditionalFormatting sqref="A83:F87">
    <cfRule type="cellIs" dxfId="252" priority="2" stopIfTrue="1" operator="lessThan">
      <formula>0</formula>
    </cfRule>
  </conditionalFormatting>
  <conditionalFormatting sqref="A93:F95">
    <cfRule type="cellIs" dxfId="251" priority="3" stopIfTrue="1" operator="lessThan">
      <formula>0</formula>
    </cfRule>
  </conditionalFormatting>
  <conditionalFormatting sqref="A34:G41">
    <cfRule type="cellIs" dxfId="250" priority="4" stopIfTrue="1" operator="lessThan">
      <formula>0</formula>
    </cfRule>
  </conditionalFormatting>
  <conditionalFormatting sqref="A64:G69">
    <cfRule type="cellIs" dxfId="249" priority="5" stopIfTrue="1" operator="lessThan">
      <formula>0</formula>
    </cfRule>
  </conditionalFormatting>
  <conditionalFormatting sqref="A73:G79">
    <cfRule type="cellIs" dxfId="248" priority="6" stopIfTrue="1" operator="lessThan">
      <formula>0</formula>
    </cfRule>
  </conditionalFormatting>
  <conditionalFormatting sqref="A88:G88">
    <cfRule type="cellIs" dxfId="247" priority="7" stopIfTrue="1" operator="lessThan">
      <formula>0</formula>
    </cfRule>
  </conditionalFormatting>
  <conditionalFormatting sqref="A1:Z2 B10:C21 E10:Z21 A11:A21 D11:D21 A4:Z9 A3 C3 H3:Z3">
    <cfRule type="cellIs" dxfId="246" priority="9" stopIfTrue="1" operator="lessThan">
      <formula>0</formula>
    </cfRule>
  </conditionalFormatting>
  <conditionalFormatting sqref="B1:H2 B6:D6 E6:H9 A7:D9 A92:G92 A96:G98 B122:H999 C3 H3">
    <cfRule type="cellIs" dxfId="245" priority="10" stopIfTrue="1" operator="lessThan">
      <formula>0</formula>
    </cfRule>
  </conditionalFormatting>
  <conditionalFormatting sqref="G102 A102:F107 G106:G107 A111:G111 A112:F115 A116:G118">
    <cfRule type="cellIs" dxfId="244" priority="8" stopIfTrue="1" operator="lessThan">
      <formula>0</formula>
    </cfRule>
  </conditionalFormatting>
  <conditionalFormatting sqref="A45:G50 A54:G60 A65:F65 G65:G67 H16:H121">
    <cfRule type="cellIs" dxfId="243" priority="11" stopIfTrue="1" operator="lessThan">
      <formula>0</formula>
    </cfRule>
  </conditionalFormatting>
  <conditionalFormatting sqref="A26:A28">
    <cfRule type="cellIs" dxfId="242" priority="1" stopIfTrue="1" operator="lessThan">
      <formula>0</formula>
    </cfRule>
  </conditionalFormatting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H269"/>
  <sheetViews>
    <sheetView workbookViewId="0">
      <pane ySplit="4" topLeftCell="A48" activePane="bottomLeft" state="frozen"/>
      <selection activeCell="E13" sqref="E13"/>
      <selection pane="bottomLeft" activeCell="F62" sqref="F62"/>
    </sheetView>
  </sheetViews>
  <sheetFormatPr defaultColWidth="14.42578125" defaultRowHeight="15" customHeight="1" x14ac:dyDescent="0.3"/>
  <cols>
    <col min="1" max="1" width="23.5703125" style="137" customWidth="1"/>
    <col min="2" max="2" width="23.5703125" style="137" hidden="1" customWidth="1"/>
    <col min="3" max="3" width="18.140625" style="137" customWidth="1"/>
    <col min="4" max="4" width="21" style="137" customWidth="1"/>
    <col min="5" max="5" width="19.140625" style="137" customWidth="1"/>
    <col min="6" max="6" width="27.42578125" style="137" customWidth="1"/>
    <col min="7" max="7" width="18.42578125" style="137" customWidth="1"/>
    <col min="8" max="8" width="16.140625" style="137" customWidth="1"/>
    <col min="9" max="27" width="8.7109375" style="137" customWidth="1"/>
    <col min="28" max="16384" width="14.42578125" style="137"/>
  </cols>
  <sheetData>
    <row r="2" spans="1:8" ht="56.25" x14ac:dyDescent="0.3">
      <c r="A2" s="310"/>
      <c r="B2" s="357" t="s">
        <v>124</v>
      </c>
      <c r="C2" s="158" t="str">
        <f>'ใบกัน 300'!E2</f>
        <v>ค่าเบี้ยประชุมกรรมการ</v>
      </c>
      <c r="D2" s="358" t="str">
        <f>'ใบกัน 300'!F2</f>
        <v>ค่าตอบแทนผู้ปฏิบัติงาน
ให้ราชการ</v>
      </c>
      <c r="E2" s="358" t="str">
        <f>'ใบกัน 300'!G2</f>
        <v>ค่าตอบแทน
การปฏิบัติงาน
นอกเวลาราชการ</v>
      </c>
      <c r="F2" s="358" t="str">
        <f>'ใบกัน 300'!H2</f>
        <v>ค่าตอบแทนเหมาจ่าย
แทนการจัดหารถประจำตำแหน่ง</v>
      </c>
      <c r="G2" s="158" t="s">
        <v>208</v>
      </c>
    </row>
    <row r="3" spans="1:8" ht="21" customHeight="1" x14ac:dyDescent="0.3">
      <c r="A3" s="309" t="s">
        <v>209</v>
      </c>
      <c r="B3" s="359"/>
      <c r="C3" s="145">
        <v>0</v>
      </c>
      <c r="D3" s="145">
        <v>0</v>
      </c>
      <c r="E3" s="145">
        <v>0</v>
      </c>
      <c r="F3" s="145">
        <v>0</v>
      </c>
      <c r="G3" s="276">
        <f>SUM(C3:F3)</f>
        <v>0</v>
      </c>
      <c r="H3" s="136"/>
    </row>
    <row r="4" spans="1:8" ht="21" customHeight="1" x14ac:dyDescent="0.3">
      <c r="A4" s="309" t="s">
        <v>210</v>
      </c>
      <c r="B4" s="359"/>
      <c r="C4" s="145">
        <f>+'ใบกัน 300'!E4</f>
        <v>165000</v>
      </c>
      <c r="D4" s="145">
        <f>+'ใบกัน 300'!F4</f>
        <v>265200</v>
      </c>
      <c r="E4" s="145">
        <f>+'ใบกัน 300'!G4</f>
        <v>242000</v>
      </c>
      <c r="F4" s="145">
        <f>+'ใบกัน 300'!H4</f>
        <v>1220400</v>
      </c>
      <c r="G4" s="145">
        <f>+'ใบกัน 300'!I4</f>
        <v>1892600</v>
      </c>
      <c r="H4" s="136"/>
    </row>
    <row r="5" spans="1:8" ht="21" customHeight="1" x14ac:dyDescent="0.3">
      <c r="A5" s="309" t="s">
        <v>211</v>
      </c>
      <c r="B5" s="359"/>
      <c r="C5" s="360"/>
      <c r="D5" s="360"/>
      <c r="E5" s="360"/>
      <c r="F5" s="360"/>
      <c r="G5" s="276"/>
    </row>
    <row r="6" spans="1:8" ht="21" customHeight="1" x14ac:dyDescent="0.3">
      <c r="A6" s="277" t="s">
        <v>212</v>
      </c>
      <c r="B6" s="361"/>
      <c r="C6" s="136"/>
      <c r="D6" s="136"/>
      <c r="E6" s="136"/>
      <c r="F6" s="136"/>
      <c r="G6" s="276">
        <f t="shared" ref="G6:G71" si="0">SUM(C6:F6)</f>
        <v>0</v>
      </c>
    </row>
    <row r="7" spans="1:8" ht="21" customHeight="1" x14ac:dyDescent="0.3">
      <c r="A7" s="310">
        <v>45593</v>
      </c>
      <c r="B7" s="357"/>
      <c r="C7" s="136">
        <v>10250</v>
      </c>
      <c r="D7" s="136"/>
      <c r="E7" s="136"/>
      <c r="F7" s="136"/>
      <c r="G7" s="276">
        <f t="shared" si="0"/>
        <v>10250</v>
      </c>
      <c r="H7" s="254" t="s">
        <v>1437</v>
      </c>
    </row>
    <row r="8" spans="1:8" ht="21" customHeight="1" x14ac:dyDescent="0.3">
      <c r="A8" s="310"/>
      <c r="B8" s="357"/>
      <c r="C8" s="136"/>
      <c r="D8" s="136"/>
      <c r="E8" s="136"/>
      <c r="F8" s="136">
        <v>139800</v>
      </c>
      <c r="G8" s="276">
        <f t="shared" si="0"/>
        <v>139800</v>
      </c>
      <c r="H8" s="254"/>
    </row>
    <row r="9" spans="1:8" ht="21" customHeight="1" x14ac:dyDescent="0.3">
      <c r="A9" s="310"/>
      <c r="B9" s="357"/>
      <c r="C9" s="136"/>
      <c r="D9" s="136"/>
      <c r="E9" s="136"/>
      <c r="F9" s="136"/>
      <c r="G9" s="276"/>
      <c r="H9" s="984"/>
    </row>
    <row r="10" spans="1:8" ht="21" customHeight="1" x14ac:dyDescent="0.3">
      <c r="A10" s="310"/>
      <c r="B10" s="357"/>
      <c r="C10" s="136"/>
      <c r="D10" s="195"/>
      <c r="E10" s="136"/>
      <c r="F10" s="136"/>
      <c r="G10" s="276"/>
      <c r="H10" s="254"/>
    </row>
    <row r="11" spans="1:8" ht="21" customHeight="1" x14ac:dyDescent="0.3">
      <c r="A11" s="278"/>
      <c r="B11" s="252"/>
      <c r="C11" s="136"/>
      <c r="D11" s="136"/>
      <c r="E11" s="136"/>
      <c r="F11" s="136"/>
      <c r="G11" s="276">
        <f t="shared" si="0"/>
        <v>0</v>
      </c>
    </row>
    <row r="12" spans="1:8" ht="21" customHeight="1" x14ac:dyDescent="0.3">
      <c r="A12" s="311" t="s">
        <v>213</v>
      </c>
      <c r="B12" s="363"/>
      <c r="C12" s="279">
        <f>SUM(C6:C11)</f>
        <v>10250</v>
      </c>
      <c r="D12" s="279">
        <f>SUM(D6:D11)</f>
        <v>0</v>
      </c>
      <c r="E12" s="279">
        <f>SUM(E6:E11)</f>
        <v>0</v>
      </c>
      <c r="F12" s="279">
        <f>SUM(F6:F11)</f>
        <v>139800</v>
      </c>
      <c r="G12" s="364">
        <f t="shared" si="0"/>
        <v>150050</v>
      </c>
      <c r="H12" s="195"/>
    </row>
    <row r="13" spans="1:8" ht="21" customHeight="1" x14ac:dyDescent="0.3">
      <c r="A13" s="311" t="s">
        <v>341</v>
      </c>
      <c r="B13" s="363"/>
      <c r="C13" s="279">
        <f>SUM(C3+C12)</f>
        <v>10250</v>
      </c>
      <c r="D13" s="279">
        <f>SUM(D3+D12)</f>
        <v>0</v>
      </c>
      <c r="E13" s="279">
        <f>SUM(E3+E12)</f>
        <v>0</v>
      </c>
      <c r="F13" s="279">
        <f>SUM(F3+F12)</f>
        <v>139800</v>
      </c>
      <c r="G13" s="364">
        <f t="shared" si="0"/>
        <v>150050</v>
      </c>
      <c r="H13" s="195"/>
    </row>
    <row r="14" spans="1:8" ht="21" customHeight="1" x14ac:dyDescent="0.3">
      <c r="A14" s="311" t="s">
        <v>210</v>
      </c>
      <c r="B14" s="363"/>
      <c r="C14" s="279">
        <f>SUM(C4-C12)</f>
        <v>154750</v>
      </c>
      <c r="D14" s="279">
        <f>SUM(D4-D12)</f>
        <v>265200</v>
      </c>
      <c r="E14" s="279">
        <f>SUM(E4-E12)</f>
        <v>242000</v>
      </c>
      <c r="F14" s="279">
        <f>SUM(F4-F12)</f>
        <v>1080600</v>
      </c>
      <c r="G14" s="364">
        <f t="shared" si="0"/>
        <v>1742550</v>
      </c>
      <c r="H14" s="195"/>
    </row>
    <row r="15" spans="1:8" ht="21" customHeight="1" x14ac:dyDescent="0.3">
      <c r="A15" s="277" t="s">
        <v>216</v>
      </c>
      <c r="B15" s="361"/>
      <c r="C15" s="136"/>
      <c r="D15" s="136"/>
      <c r="E15" s="136"/>
      <c r="F15" s="136"/>
      <c r="G15" s="276">
        <f t="shared" si="0"/>
        <v>0</v>
      </c>
      <c r="H15" s="254"/>
    </row>
    <row r="16" spans="1:8" ht="21" customHeight="1" x14ac:dyDescent="0.3">
      <c r="A16" s="310">
        <v>243930</v>
      </c>
      <c r="B16" s="357"/>
      <c r="C16" s="136"/>
      <c r="D16" s="136"/>
      <c r="E16" s="136">
        <v>2050</v>
      </c>
      <c r="F16" s="136"/>
      <c r="G16" s="276">
        <f t="shared" si="0"/>
        <v>2050</v>
      </c>
      <c r="H16" s="254" t="s">
        <v>1478</v>
      </c>
    </row>
    <row r="17" spans="1:8" ht="21" customHeight="1" x14ac:dyDescent="0.3">
      <c r="A17" s="310">
        <v>243930</v>
      </c>
      <c r="B17" s="357"/>
      <c r="C17" s="136"/>
      <c r="D17" s="136"/>
      <c r="E17" s="136">
        <v>29980</v>
      </c>
      <c r="F17" s="136"/>
      <c r="G17" s="276">
        <f t="shared" si="0"/>
        <v>29980</v>
      </c>
      <c r="H17" s="254" t="s">
        <v>1479</v>
      </c>
    </row>
    <row r="18" spans="1:8" ht="21" customHeight="1" x14ac:dyDescent="0.3">
      <c r="A18" s="310">
        <v>243934</v>
      </c>
      <c r="B18" s="357"/>
      <c r="C18" s="136"/>
      <c r="D18" s="136"/>
      <c r="E18" s="136">
        <v>3800</v>
      </c>
      <c r="F18" s="136"/>
      <c r="G18" s="276">
        <f t="shared" si="0"/>
        <v>3800</v>
      </c>
      <c r="H18" s="254" t="s">
        <v>1482</v>
      </c>
    </row>
    <row r="19" spans="1:8" ht="21" customHeight="1" x14ac:dyDescent="0.3">
      <c r="A19" s="310">
        <v>243934</v>
      </c>
      <c r="B19" s="357"/>
      <c r="C19" s="136">
        <v>17400</v>
      </c>
      <c r="D19" s="136"/>
      <c r="E19" s="136"/>
      <c r="F19" s="136"/>
      <c r="G19" s="276">
        <f t="shared" si="0"/>
        <v>17400</v>
      </c>
      <c r="H19" s="254" t="s">
        <v>1483</v>
      </c>
    </row>
    <row r="20" spans="1:8" ht="21" customHeight="1" x14ac:dyDescent="0.3">
      <c r="A20" s="310">
        <v>243941</v>
      </c>
      <c r="B20" s="357"/>
      <c r="C20" s="136"/>
      <c r="D20" s="136">
        <v>3000</v>
      </c>
      <c r="E20" s="136"/>
      <c r="F20" s="136"/>
      <c r="G20" s="276">
        <f t="shared" si="0"/>
        <v>3000</v>
      </c>
      <c r="H20" s="254"/>
    </row>
    <row r="21" spans="1:8" ht="21" customHeight="1" x14ac:dyDescent="0.3">
      <c r="A21" s="310">
        <v>243941</v>
      </c>
      <c r="B21" s="357"/>
      <c r="C21" s="136"/>
      <c r="D21" s="136"/>
      <c r="E21" s="136">
        <v>1730</v>
      </c>
      <c r="F21" s="136"/>
      <c r="G21" s="276">
        <f t="shared" si="0"/>
        <v>1730</v>
      </c>
      <c r="H21" s="254"/>
    </row>
    <row r="22" spans="1:8" ht="21" customHeight="1" x14ac:dyDescent="0.3">
      <c r="A22" s="310">
        <v>243948</v>
      </c>
      <c r="B22" s="357"/>
      <c r="C22" s="136"/>
      <c r="D22" s="136"/>
      <c r="E22" s="136">
        <v>18520</v>
      </c>
      <c r="F22" s="136"/>
      <c r="G22" s="276">
        <f t="shared" si="0"/>
        <v>18520</v>
      </c>
      <c r="H22" s="254"/>
    </row>
    <row r="23" spans="1:8" ht="21" customHeight="1" x14ac:dyDescent="0.3">
      <c r="A23" s="310"/>
      <c r="B23" s="357"/>
      <c r="C23" s="136"/>
      <c r="D23" s="136"/>
      <c r="E23" s="136"/>
      <c r="F23" s="136">
        <v>139800</v>
      </c>
      <c r="G23" s="276">
        <f t="shared" si="0"/>
        <v>139800</v>
      </c>
      <c r="H23" s="254"/>
    </row>
    <row r="24" spans="1:8" ht="21" customHeight="1" x14ac:dyDescent="0.3">
      <c r="A24" s="310"/>
      <c r="B24" s="357"/>
      <c r="C24" s="136"/>
      <c r="D24" s="136"/>
      <c r="E24" s="136"/>
      <c r="F24" s="136"/>
      <c r="G24" s="276">
        <f t="shared" si="0"/>
        <v>0</v>
      </c>
      <c r="H24" s="254"/>
    </row>
    <row r="25" spans="1:8" ht="21" customHeight="1" x14ac:dyDescent="0.3">
      <c r="A25" s="310"/>
      <c r="B25" s="357"/>
      <c r="C25" s="136"/>
      <c r="D25" s="136"/>
      <c r="E25" s="136"/>
      <c r="F25" s="136"/>
      <c r="G25" s="276">
        <f t="shared" si="0"/>
        <v>0</v>
      </c>
      <c r="H25" s="254"/>
    </row>
    <row r="26" spans="1:8" ht="21" customHeight="1" x14ac:dyDescent="0.3">
      <c r="A26" s="310"/>
      <c r="B26" s="357"/>
      <c r="C26" s="136"/>
      <c r="D26" s="136"/>
      <c r="E26" s="136"/>
      <c r="F26" s="136"/>
      <c r="G26" s="276">
        <f t="shared" si="0"/>
        <v>0</v>
      </c>
      <c r="H26" s="254"/>
    </row>
    <row r="27" spans="1:8" ht="21" customHeight="1" x14ac:dyDescent="0.3">
      <c r="A27" s="310"/>
      <c r="B27" s="357"/>
      <c r="C27" s="136"/>
      <c r="D27" s="136"/>
      <c r="E27" s="136"/>
      <c r="F27" s="136"/>
      <c r="G27" s="276">
        <f t="shared" si="0"/>
        <v>0</v>
      </c>
      <c r="H27" s="254"/>
    </row>
    <row r="28" spans="1:8" ht="21" customHeight="1" x14ac:dyDescent="0.3">
      <c r="A28" s="278"/>
      <c r="B28" s="252"/>
      <c r="C28" s="136"/>
      <c r="D28" s="136"/>
      <c r="E28" s="136"/>
      <c r="F28" s="136"/>
      <c r="G28" s="276">
        <f t="shared" si="0"/>
        <v>0</v>
      </c>
      <c r="H28" s="254"/>
    </row>
    <row r="29" spans="1:8" ht="21" customHeight="1" x14ac:dyDescent="0.3">
      <c r="A29" s="311" t="s">
        <v>217</v>
      </c>
      <c r="B29" s="363"/>
      <c r="C29" s="279">
        <f>SUM(C15:C28)</f>
        <v>17400</v>
      </c>
      <c r="D29" s="279">
        <f>SUM(D15:D28)</f>
        <v>3000</v>
      </c>
      <c r="E29" s="279">
        <f>SUM(E15:E28)</f>
        <v>56080</v>
      </c>
      <c r="F29" s="279">
        <f>SUM(F15:F28)</f>
        <v>139800</v>
      </c>
      <c r="G29" s="364">
        <f t="shared" si="0"/>
        <v>216280</v>
      </c>
      <c r="H29" s="195"/>
    </row>
    <row r="30" spans="1:8" ht="21" customHeight="1" x14ac:dyDescent="0.3">
      <c r="A30" s="311" t="s">
        <v>218</v>
      </c>
      <c r="B30" s="363"/>
      <c r="C30" s="279">
        <f>SUM(C13+C29)</f>
        <v>27650</v>
      </c>
      <c r="D30" s="279">
        <f>SUM(D13+D29)</f>
        <v>3000</v>
      </c>
      <c r="E30" s="279">
        <f>SUM(E13+E29)</f>
        <v>56080</v>
      </c>
      <c r="F30" s="279">
        <f>SUM(F13+F29)</f>
        <v>279600</v>
      </c>
      <c r="G30" s="364">
        <f t="shared" si="0"/>
        <v>366330</v>
      </c>
      <c r="H30" s="195"/>
    </row>
    <row r="31" spans="1:8" ht="21" customHeight="1" x14ac:dyDescent="0.3">
      <c r="A31" s="311" t="s">
        <v>219</v>
      </c>
      <c r="B31" s="363"/>
      <c r="C31" s="279">
        <f>SUM(C14-C29)</f>
        <v>137350</v>
      </c>
      <c r="D31" s="279">
        <f>SUM(D14-D29)</f>
        <v>262200</v>
      </c>
      <c r="E31" s="279">
        <f>SUM(E14-E29)</f>
        <v>185920</v>
      </c>
      <c r="F31" s="279">
        <f>SUM(F14-F29)</f>
        <v>940800</v>
      </c>
      <c r="G31" s="364">
        <f t="shared" si="0"/>
        <v>1526270</v>
      </c>
      <c r="H31" s="195"/>
    </row>
    <row r="32" spans="1:8" ht="21" customHeight="1" x14ac:dyDescent="0.3">
      <c r="A32" s="277" t="s">
        <v>220</v>
      </c>
      <c r="B32" s="361"/>
      <c r="C32" s="136"/>
      <c r="D32" s="136"/>
      <c r="E32" s="136"/>
      <c r="F32" s="136"/>
      <c r="G32" s="276">
        <f t="shared" si="0"/>
        <v>0</v>
      </c>
    </row>
    <row r="33" spans="1:8" ht="21" customHeight="1" x14ac:dyDescent="0.3">
      <c r="A33" s="310">
        <v>243954</v>
      </c>
      <c r="B33" s="357"/>
      <c r="C33" s="136"/>
      <c r="D33" s="136"/>
      <c r="E33" s="136"/>
      <c r="F33" s="136">
        <v>139800</v>
      </c>
      <c r="G33" s="276">
        <f t="shared" si="0"/>
        <v>139800</v>
      </c>
      <c r="H33" s="254"/>
    </row>
    <row r="34" spans="1:8" ht="21" customHeight="1" x14ac:dyDescent="0.3">
      <c r="A34" s="310">
        <v>243955</v>
      </c>
      <c r="B34" s="357"/>
      <c r="C34" s="137">
        <v>3000</v>
      </c>
      <c r="E34" s="136"/>
      <c r="G34" s="276">
        <f t="shared" si="0"/>
        <v>3000</v>
      </c>
      <c r="H34" s="254"/>
    </row>
    <row r="35" spans="1:8" ht="21" customHeight="1" x14ac:dyDescent="0.3">
      <c r="A35" s="310">
        <v>243956</v>
      </c>
      <c r="B35" s="357"/>
      <c r="C35" s="136"/>
      <c r="D35" s="136">
        <v>2100</v>
      </c>
      <c r="E35" s="136"/>
      <c r="F35" s="136"/>
      <c r="G35" s="276">
        <f t="shared" si="0"/>
        <v>2100</v>
      </c>
      <c r="H35" s="254"/>
    </row>
    <row r="36" spans="1:8" ht="21" customHeight="1" x14ac:dyDescent="0.3">
      <c r="A36" s="310">
        <v>243961</v>
      </c>
      <c r="B36" s="357"/>
      <c r="C36" s="136"/>
      <c r="D36" s="136"/>
      <c r="E36" s="136">
        <v>16740</v>
      </c>
      <c r="F36" s="136"/>
      <c r="G36" s="276">
        <f t="shared" si="0"/>
        <v>16740</v>
      </c>
      <c r="H36" s="254"/>
    </row>
    <row r="37" spans="1:8" ht="21" customHeight="1" x14ac:dyDescent="0.3">
      <c r="A37" s="310">
        <v>243963</v>
      </c>
      <c r="B37" s="357"/>
      <c r="C37" s="136"/>
      <c r="D37" s="136"/>
      <c r="E37" s="136">
        <v>4100</v>
      </c>
      <c r="F37" s="136"/>
      <c r="G37" s="276">
        <f t="shared" si="0"/>
        <v>4100</v>
      </c>
      <c r="H37" s="254"/>
    </row>
    <row r="38" spans="1:8" ht="21" customHeight="1" x14ac:dyDescent="0.3">
      <c r="A38" s="310">
        <v>243968</v>
      </c>
      <c r="B38" s="357"/>
      <c r="C38" s="136"/>
      <c r="D38" s="136"/>
      <c r="E38" s="136">
        <v>2100</v>
      </c>
      <c r="F38" s="136"/>
      <c r="G38" s="276">
        <f t="shared" si="0"/>
        <v>2100</v>
      </c>
      <c r="H38" s="254"/>
    </row>
    <row r="39" spans="1:8" ht="21" customHeight="1" x14ac:dyDescent="0.3">
      <c r="A39" s="310">
        <v>243968</v>
      </c>
      <c r="B39" s="357"/>
      <c r="C39" s="136"/>
      <c r="D39" s="136"/>
      <c r="E39" s="136">
        <v>2000</v>
      </c>
      <c r="F39" s="136"/>
      <c r="G39" s="276">
        <f t="shared" si="0"/>
        <v>2000</v>
      </c>
      <c r="H39" s="254"/>
    </row>
    <row r="40" spans="1:8" ht="21" customHeight="1" x14ac:dyDescent="0.3">
      <c r="A40" s="310">
        <v>243969</v>
      </c>
      <c r="B40" s="357"/>
      <c r="C40" s="136">
        <v>14800</v>
      </c>
      <c r="D40" s="136"/>
      <c r="E40" s="136"/>
      <c r="F40" s="136"/>
      <c r="G40" s="276">
        <f t="shared" si="0"/>
        <v>14800</v>
      </c>
      <c r="H40" s="254"/>
    </row>
    <row r="41" spans="1:8" ht="21" customHeight="1" x14ac:dyDescent="0.3">
      <c r="A41" s="310">
        <v>243972</v>
      </c>
      <c r="B41" s="357"/>
      <c r="C41" s="136"/>
      <c r="D41" s="136">
        <v>3000</v>
      </c>
      <c r="E41" s="136"/>
      <c r="F41" s="136"/>
      <c r="G41" s="276">
        <f t="shared" si="0"/>
        <v>3000</v>
      </c>
      <c r="H41" s="254"/>
    </row>
    <row r="42" spans="1:8" ht="21" customHeight="1" x14ac:dyDescent="0.3">
      <c r="A42" s="310">
        <v>243977</v>
      </c>
      <c r="B42" s="357"/>
      <c r="C42" s="136">
        <v>3900</v>
      </c>
      <c r="D42" s="136"/>
      <c r="E42" s="136"/>
      <c r="F42" s="136"/>
      <c r="G42" s="276">
        <f t="shared" si="0"/>
        <v>3900</v>
      </c>
      <c r="H42" s="254"/>
    </row>
    <row r="43" spans="1:8" ht="21" customHeight="1" x14ac:dyDescent="0.3">
      <c r="A43" s="310">
        <v>243977</v>
      </c>
      <c r="B43" s="357"/>
      <c r="C43" s="136"/>
      <c r="D43" s="136"/>
      <c r="E43" s="136">
        <v>15590</v>
      </c>
      <c r="F43" s="136"/>
      <c r="G43" s="276">
        <f t="shared" si="0"/>
        <v>15590</v>
      </c>
      <c r="H43" s="362"/>
    </row>
    <row r="44" spans="1:8" ht="21" customHeight="1" x14ac:dyDescent="0.3">
      <c r="A44" s="310">
        <v>243978</v>
      </c>
      <c r="B44" s="357"/>
      <c r="C44" s="136"/>
      <c r="D44" s="136"/>
      <c r="E44" s="136">
        <v>3370</v>
      </c>
      <c r="F44" s="136"/>
      <c r="G44" s="276">
        <f t="shared" si="0"/>
        <v>3370</v>
      </c>
    </row>
    <row r="45" spans="1:8" s="997" customFormat="1" ht="21" customHeight="1" x14ac:dyDescent="0.3">
      <c r="A45" s="310">
        <v>243978</v>
      </c>
      <c r="B45" s="357"/>
      <c r="C45" s="136"/>
      <c r="D45" s="136"/>
      <c r="E45" s="136">
        <v>5850</v>
      </c>
      <c r="F45" s="136"/>
      <c r="G45" s="276">
        <f t="shared" si="0"/>
        <v>5850</v>
      </c>
    </row>
    <row r="46" spans="1:8" s="997" customFormat="1" ht="21" customHeight="1" x14ac:dyDescent="0.3">
      <c r="A46" s="310">
        <v>243978</v>
      </c>
      <c r="B46" s="357"/>
      <c r="C46" s="136"/>
      <c r="D46" s="136"/>
      <c r="E46" s="136">
        <v>12680</v>
      </c>
      <c r="F46" s="136"/>
      <c r="G46" s="276">
        <f t="shared" si="0"/>
        <v>12680</v>
      </c>
    </row>
    <row r="47" spans="1:8" ht="21" customHeight="1" x14ac:dyDescent="0.3">
      <c r="A47" s="278"/>
      <c r="B47" s="252"/>
      <c r="C47" s="136"/>
      <c r="D47" s="136"/>
      <c r="E47" s="136"/>
      <c r="F47" s="136"/>
      <c r="G47" s="276">
        <f t="shared" si="0"/>
        <v>0</v>
      </c>
    </row>
    <row r="48" spans="1:8" ht="21" customHeight="1" x14ac:dyDescent="0.3">
      <c r="A48" s="311" t="s">
        <v>221</v>
      </c>
      <c r="B48" s="363"/>
      <c r="C48" s="279">
        <f>SUM(C32:C47)</f>
        <v>21700</v>
      </c>
      <c r="D48" s="279">
        <f>SUM(D32:D47)</f>
        <v>5100</v>
      </c>
      <c r="E48" s="279">
        <f>SUM(E32:E47)</f>
        <v>62430</v>
      </c>
      <c r="F48" s="279">
        <f>SUM(F32:F47)</f>
        <v>139800</v>
      </c>
      <c r="G48" s="364">
        <f t="shared" si="0"/>
        <v>229030</v>
      </c>
      <c r="H48" s="195"/>
    </row>
    <row r="49" spans="1:8" ht="21" customHeight="1" x14ac:dyDescent="0.3">
      <c r="A49" s="311" t="s">
        <v>222</v>
      </c>
      <c r="B49" s="363"/>
      <c r="C49" s="279">
        <f>SUM(C30+C48)</f>
        <v>49350</v>
      </c>
      <c r="D49" s="279">
        <f>SUM(D30+D48)</f>
        <v>8100</v>
      </c>
      <c r="E49" s="279">
        <f>SUM(E30+E48)</f>
        <v>118510</v>
      </c>
      <c r="F49" s="279">
        <f>SUM(F30+F48)</f>
        <v>419400</v>
      </c>
      <c r="G49" s="364">
        <f t="shared" si="0"/>
        <v>595360</v>
      </c>
      <c r="H49" s="195"/>
    </row>
    <row r="50" spans="1:8" ht="21" customHeight="1" x14ac:dyDescent="0.3">
      <c r="A50" s="311" t="s">
        <v>223</v>
      </c>
      <c r="B50" s="363"/>
      <c r="C50" s="279">
        <f>SUM(C31-C48)</f>
        <v>115650</v>
      </c>
      <c r="D50" s="279">
        <f>SUM(D31-D48)</f>
        <v>257100</v>
      </c>
      <c r="E50" s="279">
        <f>SUM(E31-E48)</f>
        <v>123490</v>
      </c>
      <c r="F50" s="279">
        <f>SUM(F31-F48)</f>
        <v>801000</v>
      </c>
      <c r="G50" s="364">
        <f t="shared" si="0"/>
        <v>1297240</v>
      </c>
      <c r="H50" s="195"/>
    </row>
    <row r="51" spans="1:8" ht="21" customHeight="1" x14ac:dyDescent="0.3">
      <c r="A51" s="277" t="s">
        <v>224</v>
      </c>
      <c r="B51" s="361"/>
      <c r="C51" s="136"/>
      <c r="D51" s="136"/>
      <c r="E51" s="136"/>
      <c r="F51" s="136"/>
      <c r="G51" s="276">
        <f t="shared" si="0"/>
        <v>0</v>
      </c>
    </row>
    <row r="52" spans="1:8" ht="21" customHeight="1" x14ac:dyDescent="0.3">
      <c r="A52" s="310">
        <v>243989</v>
      </c>
      <c r="B52" s="357"/>
      <c r="C52" s="136">
        <v>52600</v>
      </c>
      <c r="D52" s="136"/>
      <c r="E52" s="136"/>
      <c r="F52" s="136"/>
      <c r="G52" s="276">
        <f t="shared" si="0"/>
        <v>52600</v>
      </c>
      <c r="H52" s="137" t="s">
        <v>1764</v>
      </c>
    </row>
    <row r="53" spans="1:8" ht="21" customHeight="1" x14ac:dyDescent="0.3">
      <c r="A53" s="310">
        <v>243992</v>
      </c>
      <c r="B53" s="357"/>
      <c r="C53" s="136"/>
      <c r="D53" s="136"/>
      <c r="E53" s="136">
        <v>3850</v>
      </c>
      <c r="F53" s="136"/>
      <c r="G53" s="276">
        <f t="shared" si="0"/>
        <v>3850</v>
      </c>
      <c r="H53" s="1173" t="s">
        <v>1774</v>
      </c>
    </row>
    <row r="54" spans="1:8" ht="21" customHeight="1" x14ac:dyDescent="0.3">
      <c r="A54" s="310">
        <v>243998</v>
      </c>
      <c r="B54" s="357"/>
      <c r="C54" s="136"/>
      <c r="D54" s="136"/>
      <c r="E54" s="136">
        <v>18860</v>
      </c>
      <c r="F54" s="136"/>
      <c r="G54" s="276">
        <f t="shared" si="0"/>
        <v>18860</v>
      </c>
      <c r="H54" s="1173" t="s">
        <v>1786</v>
      </c>
    </row>
    <row r="55" spans="1:8" ht="21" customHeight="1" x14ac:dyDescent="0.3">
      <c r="A55" s="310">
        <v>243998</v>
      </c>
      <c r="B55" s="357"/>
      <c r="C55" s="136">
        <v>10000</v>
      </c>
      <c r="D55" s="136"/>
      <c r="E55" s="136"/>
      <c r="F55" s="136"/>
      <c r="G55" s="276">
        <f t="shared" si="0"/>
        <v>10000</v>
      </c>
      <c r="H55" s="1173" t="s">
        <v>1787</v>
      </c>
    </row>
    <row r="56" spans="1:8" ht="21" customHeight="1" x14ac:dyDescent="0.3">
      <c r="A56" s="310">
        <v>243998</v>
      </c>
      <c r="B56" s="357"/>
      <c r="C56" s="136"/>
      <c r="D56" s="136"/>
      <c r="E56" s="136">
        <v>1700</v>
      </c>
      <c r="F56" s="136"/>
      <c r="G56" s="276">
        <f t="shared" si="0"/>
        <v>1700</v>
      </c>
      <c r="H56" s="1174" t="s">
        <v>1788</v>
      </c>
    </row>
    <row r="57" spans="1:8" ht="21" customHeight="1" x14ac:dyDescent="0.3">
      <c r="A57" s="310">
        <v>244003</v>
      </c>
      <c r="B57" s="357"/>
      <c r="C57" s="136"/>
      <c r="D57" s="136">
        <v>1915</v>
      </c>
      <c r="E57" s="136"/>
      <c r="F57" s="136"/>
      <c r="G57" s="276">
        <f t="shared" si="0"/>
        <v>1915</v>
      </c>
      <c r="H57" s="1174" t="s">
        <v>1794</v>
      </c>
    </row>
    <row r="58" spans="1:8" ht="21" customHeight="1" x14ac:dyDescent="0.3">
      <c r="A58" s="310">
        <v>244003</v>
      </c>
      <c r="B58" s="357"/>
      <c r="C58" s="136"/>
      <c r="D58" s="136"/>
      <c r="E58" s="136">
        <v>1530</v>
      </c>
      <c r="F58" s="136"/>
      <c r="G58" s="276">
        <f t="shared" si="0"/>
        <v>1530</v>
      </c>
      <c r="H58" s="1174" t="s">
        <v>1796</v>
      </c>
    </row>
    <row r="59" spans="1:8" ht="21" customHeight="1" x14ac:dyDescent="0.3">
      <c r="A59" s="310">
        <v>244007</v>
      </c>
      <c r="B59" s="357"/>
      <c r="C59" s="136"/>
      <c r="D59" s="136"/>
      <c r="E59" s="136">
        <v>27890</v>
      </c>
      <c r="F59" s="136"/>
      <c r="G59" s="276">
        <f t="shared" si="0"/>
        <v>27890</v>
      </c>
      <c r="H59" s="1174" t="s">
        <v>1816</v>
      </c>
    </row>
    <row r="60" spans="1:8" ht="21" customHeight="1" x14ac:dyDescent="0.3">
      <c r="A60" s="310">
        <v>244010</v>
      </c>
      <c r="B60" s="357"/>
      <c r="C60" s="136"/>
      <c r="D60" s="136"/>
      <c r="E60" s="136">
        <v>1140</v>
      </c>
      <c r="F60" s="136"/>
      <c r="G60" s="276">
        <f t="shared" si="0"/>
        <v>1140</v>
      </c>
      <c r="H60" s="1174" t="s">
        <v>1823</v>
      </c>
    </row>
    <row r="61" spans="1:8" ht="21" customHeight="1" x14ac:dyDescent="0.3">
      <c r="A61" s="310">
        <v>244010</v>
      </c>
      <c r="B61" s="357"/>
      <c r="C61" s="136"/>
      <c r="D61" s="136"/>
      <c r="E61" s="136">
        <v>1600</v>
      </c>
      <c r="F61" s="136"/>
      <c r="G61" s="276">
        <f t="shared" si="0"/>
        <v>1600</v>
      </c>
      <c r="H61" s="1174" t="s">
        <v>1824</v>
      </c>
    </row>
    <row r="62" spans="1:8" ht="21" customHeight="1" x14ac:dyDescent="0.3">
      <c r="A62" s="310">
        <v>243998</v>
      </c>
      <c r="B62" s="357"/>
      <c r="C62" s="136"/>
      <c r="D62" s="136"/>
      <c r="E62" s="136"/>
      <c r="F62" s="136">
        <v>139800</v>
      </c>
      <c r="G62" s="276">
        <f t="shared" si="0"/>
        <v>139800</v>
      </c>
      <c r="H62" s="1174"/>
    </row>
    <row r="63" spans="1:8" ht="21" customHeight="1" x14ac:dyDescent="0.3">
      <c r="A63" s="310">
        <v>243647</v>
      </c>
      <c r="B63" s="357"/>
      <c r="C63" s="136"/>
      <c r="D63" s="136"/>
      <c r="E63" s="136"/>
      <c r="F63" s="136"/>
      <c r="G63" s="276">
        <f t="shared" si="0"/>
        <v>0</v>
      </c>
    </row>
    <row r="64" spans="1:8" ht="21" customHeight="1" x14ac:dyDescent="0.3">
      <c r="A64" s="310">
        <v>243648</v>
      </c>
      <c r="B64" s="357"/>
      <c r="C64" s="136"/>
      <c r="D64" s="136"/>
      <c r="E64" s="136"/>
      <c r="F64" s="136"/>
      <c r="G64" s="276">
        <f t="shared" si="0"/>
        <v>0</v>
      </c>
    </row>
    <row r="65" spans="1:8" ht="21" customHeight="1" x14ac:dyDescent="0.3">
      <c r="A65" s="310">
        <v>243649</v>
      </c>
      <c r="B65" s="357"/>
      <c r="C65" s="136"/>
      <c r="D65" s="136"/>
      <c r="E65" s="136"/>
      <c r="F65" s="136"/>
      <c r="G65" s="276">
        <f t="shared" si="0"/>
        <v>0</v>
      </c>
    </row>
    <row r="66" spans="1:8" ht="21" customHeight="1" x14ac:dyDescent="0.3">
      <c r="A66" s="310"/>
      <c r="B66" s="357"/>
      <c r="C66" s="136"/>
      <c r="D66" s="136"/>
      <c r="E66" s="136"/>
      <c r="F66" s="136"/>
      <c r="G66" s="276">
        <f t="shared" si="0"/>
        <v>0</v>
      </c>
      <c r="H66" s="362"/>
    </row>
    <row r="67" spans="1:8" ht="21" customHeight="1" x14ac:dyDescent="0.3">
      <c r="A67" s="310"/>
      <c r="B67" s="357"/>
      <c r="C67" s="136"/>
      <c r="D67" s="136"/>
      <c r="E67" s="136"/>
      <c r="F67" s="136"/>
      <c r="G67" s="276">
        <f t="shared" si="0"/>
        <v>0</v>
      </c>
    </row>
    <row r="68" spans="1:8" ht="21" customHeight="1" x14ac:dyDescent="0.3">
      <c r="A68" s="278"/>
      <c r="B68" s="252"/>
      <c r="C68" s="136"/>
      <c r="D68" s="136"/>
      <c r="E68" s="136"/>
      <c r="F68" s="136"/>
      <c r="G68" s="276">
        <f t="shared" si="0"/>
        <v>0</v>
      </c>
    </row>
    <row r="69" spans="1:8" ht="21" customHeight="1" x14ac:dyDescent="0.3">
      <c r="A69" s="311" t="s">
        <v>225</v>
      </c>
      <c r="B69" s="363"/>
      <c r="C69" s="279">
        <f>SUM(C51:C68)</f>
        <v>62600</v>
      </c>
      <c r="D69" s="279">
        <f>SUM(D51:D68)</f>
        <v>1915</v>
      </c>
      <c r="E69" s="279">
        <f>SUM(E51:E68)</f>
        <v>56570</v>
      </c>
      <c r="F69" s="279">
        <f>SUM(F51:F68)</f>
        <v>139800</v>
      </c>
      <c r="G69" s="364">
        <f>SUM(C69:F69)</f>
        <v>260885</v>
      </c>
      <c r="H69" s="195"/>
    </row>
    <row r="70" spans="1:8" ht="21" customHeight="1" x14ac:dyDescent="0.3">
      <c r="A70" s="311" t="s">
        <v>226</v>
      </c>
      <c r="B70" s="363"/>
      <c r="C70" s="279">
        <f>SUM(C49+C69)</f>
        <v>111950</v>
      </c>
      <c r="D70" s="279">
        <f>SUM(D49+D69)</f>
        <v>10015</v>
      </c>
      <c r="E70" s="279">
        <f>SUM(E49+E69)</f>
        <v>175080</v>
      </c>
      <c r="F70" s="279">
        <f>SUM(F49+F69)</f>
        <v>559200</v>
      </c>
      <c r="G70" s="364">
        <f t="shared" si="0"/>
        <v>856245</v>
      </c>
      <c r="H70" s="195"/>
    </row>
    <row r="71" spans="1:8" ht="21" customHeight="1" x14ac:dyDescent="0.3">
      <c r="A71" s="311" t="s">
        <v>227</v>
      </c>
      <c r="B71" s="363"/>
      <c r="C71" s="279">
        <f>SUM(C50-C69)</f>
        <v>53050</v>
      </c>
      <c r="D71" s="279">
        <f>SUM(D50-D69)</f>
        <v>255185</v>
      </c>
      <c r="E71" s="279">
        <f>SUM(E50-E69)</f>
        <v>66920</v>
      </c>
      <c r="F71" s="279">
        <f>SUM(F50-F69)</f>
        <v>661200</v>
      </c>
      <c r="G71" s="364">
        <f t="shared" si="0"/>
        <v>1036355</v>
      </c>
      <c r="H71" s="195"/>
    </row>
    <row r="72" spans="1:8" ht="21" customHeight="1" x14ac:dyDescent="0.3">
      <c r="A72" s="277" t="s">
        <v>228</v>
      </c>
      <c r="B72" s="361"/>
      <c r="C72" s="136"/>
      <c r="D72" s="136"/>
      <c r="E72" s="136"/>
      <c r="F72" s="136"/>
      <c r="G72" s="276"/>
    </row>
    <row r="73" spans="1:8" ht="21" customHeight="1" x14ac:dyDescent="0.3">
      <c r="A73" s="314">
        <v>45323</v>
      </c>
      <c r="B73" s="365"/>
      <c r="C73" s="136"/>
      <c r="D73" s="136"/>
      <c r="E73" s="136"/>
      <c r="F73" s="136"/>
      <c r="G73" s="276">
        <f t="shared" ref="G73:G86" si="1">SUM(C73:F73)</f>
        <v>0</v>
      </c>
      <c r="H73" s="366" t="s">
        <v>279</v>
      </c>
    </row>
    <row r="74" spans="1:8" ht="21" customHeight="1" x14ac:dyDescent="0.3">
      <c r="A74" s="314">
        <v>45323</v>
      </c>
      <c r="B74" s="365"/>
      <c r="C74" s="136"/>
      <c r="D74" s="136"/>
      <c r="E74" s="136"/>
      <c r="F74" s="136"/>
      <c r="G74" s="276">
        <f t="shared" si="1"/>
        <v>0</v>
      </c>
      <c r="H74" s="366" t="s">
        <v>278</v>
      </c>
    </row>
    <row r="75" spans="1:8" ht="21" customHeight="1" x14ac:dyDescent="0.3">
      <c r="A75" s="314">
        <v>45330</v>
      </c>
      <c r="B75" s="365"/>
      <c r="C75" s="136"/>
      <c r="D75" s="136"/>
      <c r="E75" s="136"/>
      <c r="F75" s="136"/>
      <c r="G75" s="276">
        <f t="shared" si="1"/>
        <v>0</v>
      </c>
      <c r="H75" s="366" t="s">
        <v>375</v>
      </c>
    </row>
    <row r="76" spans="1:8" ht="21" customHeight="1" x14ac:dyDescent="0.3">
      <c r="A76" s="314">
        <v>45330</v>
      </c>
      <c r="B76" s="365"/>
      <c r="C76" s="136"/>
      <c r="D76" s="136"/>
      <c r="E76" s="136"/>
      <c r="F76" s="136"/>
      <c r="G76" s="276">
        <f t="shared" si="1"/>
        <v>0</v>
      </c>
      <c r="H76" s="366" t="s">
        <v>376</v>
      </c>
    </row>
    <row r="77" spans="1:8" ht="21" customHeight="1" x14ac:dyDescent="0.3">
      <c r="A77" s="314">
        <v>45334</v>
      </c>
      <c r="B77" s="365"/>
      <c r="C77" s="136"/>
      <c r="D77" s="136"/>
      <c r="E77" s="136"/>
      <c r="F77" s="136"/>
      <c r="G77" s="276">
        <f t="shared" si="1"/>
        <v>0</v>
      </c>
      <c r="H77" s="366" t="s">
        <v>377</v>
      </c>
    </row>
    <row r="78" spans="1:8" ht="21" customHeight="1" x14ac:dyDescent="0.3">
      <c r="A78" s="314">
        <v>45334</v>
      </c>
      <c r="B78" s="365"/>
      <c r="C78" s="136"/>
      <c r="D78" s="136"/>
      <c r="E78" s="136"/>
      <c r="F78" s="136"/>
      <c r="G78" s="276">
        <f t="shared" si="1"/>
        <v>0</v>
      </c>
      <c r="H78" s="366" t="s">
        <v>378</v>
      </c>
    </row>
    <row r="79" spans="1:8" ht="21" customHeight="1" x14ac:dyDescent="0.3">
      <c r="A79" s="314">
        <v>45337</v>
      </c>
      <c r="B79" s="365"/>
      <c r="C79" s="136"/>
      <c r="D79" s="136"/>
      <c r="E79" s="136"/>
      <c r="F79" s="136"/>
      <c r="G79" s="276">
        <f t="shared" si="1"/>
        <v>0</v>
      </c>
      <c r="H79" s="366" t="s">
        <v>379</v>
      </c>
    </row>
    <row r="80" spans="1:8" ht="21" customHeight="1" x14ac:dyDescent="0.3">
      <c r="A80" s="314">
        <v>45337</v>
      </c>
      <c r="B80" s="365"/>
      <c r="C80" s="136"/>
      <c r="D80" s="136"/>
      <c r="E80" s="136"/>
      <c r="F80" s="136"/>
      <c r="G80" s="276">
        <f t="shared" si="1"/>
        <v>0</v>
      </c>
      <c r="H80" s="366" t="s">
        <v>380</v>
      </c>
    </row>
    <row r="81" spans="1:8" ht="21" customHeight="1" x14ac:dyDescent="0.3">
      <c r="A81" s="367">
        <v>45343</v>
      </c>
      <c r="B81" s="357"/>
      <c r="C81" s="136"/>
      <c r="D81" s="136"/>
      <c r="E81" s="136"/>
      <c r="F81" s="136"/>
      <c r="G81" s="276">
        <f t="shared" si="1"/>
        <v>0</v>
      </c>
      <c r="H81" s="137">
        <v>3600000308</v>
      </c>
    </row>
    <row r="82" spans="1:8" ht="21" customHeight="1" x14ac:dyDescent="0.3">
      <c r="A82" s="314">
        <v>45343</v>
      </c>
      <c r="B82" s="365"/>
      <c r="C82" s="136"/>
      <c r="D82" s="136"/>
      <c r="E82" s="136"/>
      <c r="F82" s="136"/>
      <c r="G82" s="276">
        <f t="shared" si="1"/>
        <v>0</v>
      </c>
      <c r="H82" s="366" t="s">
        <v>381</v>
      </c>
    </row>
    <row r="83" spans="1:8" ht="21" customHeight="1" x14ac:dyDescent="0.3">
      <c r="A83" s="314">
        <v>45345</v>
      </c>
      <c r="B83" s="365"/>
      <c r="C83" s="136"/>
      <c r="D83" s="136"/>
      <c r="E83" s="136"/>
      <c r="F83" s="136"/>
      <c r="G83" s="276">
        <f t="shared" si="1"/>
        <v>0</v>
      </c>
      <c r="H83" s="366" t="s">
        <v>382</v>
      </c>
    </row>
    <row r="84" spans="1:8" ht="21" customHeight="1" x14ac:dyDescent="0.3">
      <c r="A84" s="314">
        <v>45349</v>
      </c>
      <c r="B84" s="365"/>
      <c r="C84" s="136"/>
      <c r="D84" s="136"/>
      <c r="E84" s="136"/>
      <c r="F84" s="136"/>
      <c r="G84" s="276">
        <f t="shared" si="1"/>
        <v>0</v>
      </c>
      <c r="H84" s="366" t="s">
        <v>383</v>
      </c>
    </row>
    <row r="85" spans="1:8" ht="21" customHeight="1" x14ac:dyDescent="0.3">
      <c r="A85" s="310">
        <v>45342</v>
      </c>
      <c r="B85" s="357"/>
      <c r="C85" s="136"/>
      <c r="D85" s="136"/>
      <c r="E85" s="136"/>
      <c r="F85" s="136"/>
      <c r="G85" s="276">
        <f t="shared" si="1"/>
        <v>0</v>
      </c>
      <c r="H85" s="362" t="s">
        <v>384</v>
      </c>
    </row>
    <row r="86" spans="1:8" ht="21" customHeight="1" x14ac:dyDescent="0.3">
      <c r="A86" s="310"/>
      <c r="B86" s="357"/>
      <c r="C86" s="136"/>
      <c r="D86" s="136"/>
      <c r="E86" s="136"/>
      <c r="F86" s="136"/>
      <c r="G86" s="276">
        <f t="shared" si="1"/>
        <v>0</v>
      </c>
      <c r="H86" s="362"/>
    </row>
    <row r="87" spans="1:8" ht="21" customHeight="1" x14ac:dyDescent="0.3">
      <c r="A87" s="310"/>
      <c r="B87" s="357"/>
      <c r="C87" s="136"/>
      <c r="D87" s="136"/>
      <c r="E87" s="136"/>
      <c r="F87" s="136"/>
      <c r="G87" s="276"/>
    </row>
    <row r="88" spans="1:8" ht="21" customHeight="1" x14ac:dyDescent="0.3">
      <c r="A88" s="311" t="s">
        <v>229</v>
      </c>
      <c r="B88" s="363"/>
      <c r="C88" s="279">
        <f>SUM(C72:C87)</f>
        <v>0</v>
      </c>
      <c r="D88" s="279">
        <f>SUM(D72:D87)</f>
        <v>0</v>
      </c>
      <c r="E88" s="279">
        <f>SUM(E72:E87)</f>
        <v>0</v>
      </c>
      <c r="F88" s="279">
        <f>SUM(F72:F87)</f>
        <v>0</v>
      </c>
      <c r="G88" s="364">
        <f t="shared" ref="G88:G180" si="2">SUM(C88:F88)</f>
        <v>0</v>
      </c>
      <c r="H88" s="195"/>
    </row>
    <row r="89" spans="1:8" ht="21" customHeight="1" x14ac:dyDescent="0.3">
      <c r="A89" s="311" t="s">
        <v>230</v>
      </c>
      <c r="B89" s="363"/>
      <c r="C89" s="279">
        <f>SUM(C70+C88)</f>
        <v>111950</v>
      </c>
      <c r="D89" s="279">
        <f>SUM(D70+D88)</f>
        <v>10015</v>
      </c>
      <c r="E89" s="279">
        <f>SUM(E70+E88)</f>
        <v>175080</v>
      </c>
      <c r="F89" s="279">
        <f>SUM(F70+F88)</f>
        <v>559200</v>
      </c>
      <c r="G89" s="364">
        <f t="shared" si="2"/>
        <v>856245</v>
      </c>
      <c r="H89" s="195"/>
    </row>
    <row r="90" spans="1:8" ht="21" customHeight="1" x14ac:dyDescent="0.3">
      <c r="A90" s="311" t="s">
        <v>231</v>
      </c>
      <c r="B90" s="363"/>
      <c r="C90" s="279">
        <f>SUM(C71-C88)</f>
        <v>53050</v>
      </c>
      <c r="D90" s="279">
        <f>SUM(D71-D88)</f>
        <v>255185</v>
      </c>
      <c r="E90" s="279">
        <f>SUM(E71-E88)</f>
        <v>66920</v>
      </c>
      <c r="F90" s="279">
        <f>SUM(F71-F88)</f>
        <v>661200</v>
      </c>
      <c r="G90" s="364">
        <f t="shared" si="2"/>
        <v>1036355</v>
      </c>
      <c r="H90" s="195"/>
    </row>
    <row r="91" spans="1:8" ht="21" customHeight="1" x14ac:dyDescent="0.3">
      <c r="A91" s="277" t="s">
        <v>232</v>
      </c>
      <c r="B91" s="361"/>
      <c r="C91" s="136"/>
      <c r="D91" s="136"/>
      <c r="E91" s="136"/>
      <c r="F91" s="136"/>
      <c r="G91" s="276">
        <f t="shared" si="2"/>
        <v>0</v>
      </c>
    </row>
    <row r="92" spans="1:8" ht="21" customHeight="1" x14ac:dyDescent="0.3">
      <c r="A92" s="316">
        <v>243681</v>
      </c>
      <c r="B92" s="365"/>
      <c r="C92" s="136"/>
      <c r="D92" s="136"/>
      <c r="E92" s="136"/>
      <c r="F92" s="136"/>
      <c r="G92" s="276">
        <f t="shared" si="2"/>
        <v>0</v>
      </c>
      <c r="H92" s="366" t="s">
        <v>385</v>
      </c>
    </row>
    <row r="93" spans="1:8" ht="21" customHeight="1" x14ac:dyDescent="0.3">
      <c r="A93" s="316">
        <v>243681</v>
      </c>
      <c r="B93" s="365"/>
      <c r="C93" s="136"/>
      <c r="D93" s="136"/>
      <c r="E93" s="136"/>
      <c r="F93" s="136"/>
      <c r="G93" s="276">
        <f t="shared" si="2"/>
        <v>0</v>
      </c>
      <c r="H93" s="366" t="s">
        <v>386</v>
      </c>
    </row>
    <row r="94" spans="1:8" ht="21" customHeight="1" x14ac:dyDescent="0.3">
      <c r="A94" s="316">
        <v>243683</v>
      </c>
      <c r="B94" s="365"/>
      <c r="C94" s="136"/>
      <c r="D94" s="136"/>
      <c r="E94" s="136"/>
      <c r="F94" s="136"/>
      <c r="G94" s="276">
        <f t="shared" si="2"/>
        <v>0</v>
      </c>
      <c r="H94" s="366" t="s">
        <v>387</v>
      </c>
    </row>
    <row r="95" spans="1:8" ht="21" customHeight="1" x14ac:dyDescent="0.3">
      <c r="A95" s="316">
        <v>243683</v>
      </c>
      <c r="B95" s="365"/>
      <c r="C95" s="136"/>
      <c r="D95" s="136"/>
      <c r="E95" s="136"/>
      <c r="F95" s="136"/>
      <c r="G95" s="276">
        <f t="shared" si="2"/>
        <v>0</v>
      </c>
      <c r="H95" s="366" t="s">
        <v>388</v>
      </c>
    </row>
    <row r="96" spans="1:8" ht="21" customHeight="1" x14ac:dyDescent="0.3">
      <c r="A96" s="316">
        <v>243683</v>
      </c>
      <c r="B96" s="365"/>
      <c r="C96" s="136"/>
      <c r="D96" s="136"/>
      <c r="E96" s="136"/>
      <c r="F96" s="136"/>
      <c r="G96" s="276">
        <f t="shared" si="2"/>
        <v>0</v>
      </c>
      <c r="H96" s="366" t="s">
        <v>389</v>
      </c>
    </row>
    <row r="97" spans="1:8" ht="21" customHeight="1" x14ac:dyDescent="0.3">
      <c r="A97" s="316">
        <v>45363</v>
      </c>
      <c r="B97" s="365"/>
      <c r="C97" s="136"/>
      <c r="D97" s="136"/>
      <c r="E97" s="136"/>
      <c r="F97" s="136"/>
      <c r="G97" s="276">
        <f t="shared" si="2"/>
        <v>0</v>
      </c>
      <c r="H97" s="366" t="s">
        <v>390</v>
      </c>
    </row>
    <row r="98" spans="1:8" ht="21" customHeight="1" x14ac:dyDescent="0.3">
      <c r="A98" s="316">
        <v>45364</v>
      </c>
      <c r="B98" s="365"/>
      <c r="C98" s="136"/>
      <c r="D98" s="136"/>
      <c r="E98" s="136"/>
      <c r="F98" s="136"/>
      <c r="G98" s="276">
        <f t="shared" si="2"/>
        <v>0</v>
      </c>
      <c r="H98" s="366" t="s">
        <v>391</v>
      </c>
    </row>
    <row r="99" spans="1:8" ht="21" customHeight="1" x14ac:dyDescent="0.3">
      <c r="A99" s="316">
        <v>45364</v>
      </c>
      <c r="B99" s="365"/>
      <c r="C99" s="136"/>
      <c r="D99" s="136"/>
      <c r="E99" s="319"/>
      <c r="F99" s="136"/>
      <c r="G99" s="276">
        <f t="shared" si="2"/>
        <v>0</v>
      </c>
      <c r="H99" s="366" t="s">
        <v>392</v>
      </c>
    </row>
    <row r="100" spans="1:8" ht="21" customHeight="1" x14ac:dyDescent="0.3">
      <c r="A100" s="316">
        <v>45365</v>
      </c>
      <c r="B100" s="365"/>
      <c r="C100" s="136"/>
      <c r="D100" s="136"/>
      <c r="E100" s="136"/>
      <c r="F100" s="136"/>
      <c r="G100" s="276">
        <f t="shared" si="2"/>
        <v>0</v>
      </c>
      <c r="H100" s="366" t="s">
        <v>393</v>
      </c>
    </row>
    <row r="101" spans="1:8" ht="21" customHeight="1" x14ac:dyDescent="0.3">
      <c r="A101" s="316">
        <v>45366</v>
      </c>
      <c r="B101" s="365"/>
      <c r="C101" s="136"/>
      <c r="D101" s="136"/>
      <c r="E101" s="136"/>
      <c r="F101" s="136"/>
      <c r="G101" s="276">
        <f t="shared" si="2"/>
        <v>0</v>
      </c>
      <c r="H101" s="366" t="s">
        <v>394</v>
      </c>
    </row>
    <row r="102" spans="1:8" ht="21" customHeight="1" x14ac:dyDescent="0.3">
      <c r="A102" s="316">
        <v>45371</v>
      </c>
      <c r="B102" s="365"/>
      <c r="C102" s="136"/>
      <c r="D102" s="136"/>
      <c r="E102" s="136"/>
      <c r="F102" s="136"/>
      <c r="G102" s="276">
        <f t="shared" si="2"/>
        <v>0</v>
      </c>
      <c r="H102" s="366" t="s">
        <v>395</v>
      </c>
    </row>
    <row r="103" spans="1:8" ht="21" customHeight="1" x14ac:dyDescent="0.3">
      <c r="A103" s="316">
        <v>45372</v>
      </c>
      <c r="B103" s="365"/>
      <c r="C103" s="136"/>
      <c r="D103" s="136"/>
      <c r="E103" s="136"/>
      <c r="F103" s="136"/>
      <c r="G103" s="276">
        <f t="shared" si="2"/>
        <v>0</v>
      </c>
      <c r="H103" s="366" t="s">
        <v>396</v>
      </c>
    </row>
    <row r="104" spans="1:8" ht="21" customHeight="1" x14ac:dyDescent="0.3">
      <c r="A104" s="316">
        <v>45372</v>
      </c>
      <c r="B104" s="365"/>
      <c r="C104" s="136"/>
      <c r="D104" s="136"/>
      <c r="E104" s="136"/>
      <c r="F104" s="136"/>
      <c r="G104" s="276">
        <f t="shared" si="2"/>
        <v>0</v>
      </c>
      <c r="H104" s="366" t="s">
        <v>397</v>
      </c>
    </row>
    <row r="105" spans="1:8" ht="21" customHeight="1" x14ac:dyDescent="0.3">
      <c r="A105" s="316">
        <v>45372</v>
      </c>
      <c r="B105" s="365"/>
      <c r="C105" s="136"/>
      <c r="D105" s="136"/>
      <c r="E105" s="136"/>
      <c r="F105" s="136"/>
      <c r="G105" s="276">
        <f t="shared" si="2"/>
        <v>0</v>
      </c>
      <c r="H105" s="366" t="s">
        <v>398</v>
      </c>
    </row>
    <row r="106" spans="1:8" ht="21" customHeight="1" x14ac:dyDescent="0.3">
      <c r="A106" s="316">
        <v>45372</v>
      </c>
      <c r="B106" s="365"/>
      <c r="C106" s="136"/>
      <c r="D106" s="136"/>
      <c r="E106" s="136"/>
      <c r="F106" s="136"/>
      <c r="G106" s="276">
        <f t="shared" si="2"/>
        <v>0</v>
      </c>
      <c r="H106" s="366" t="s">
        <v>399</v>
      </c>
    </row>
    <row r="107" spans="1:8" ht="21" customHeight="1" x14ac:dyDescent="0.3">
      <c r="A107" s="316">
        <v>45372</v>
      </c>
      <c r="B107" s="365"/>
      <c r="C107" s="136"/>
      <c r="D107" s="136"/>
      <c r="E107" s="136"/>
      <c r="F107" s="136"/>
      <c r="G107" s="276">
        <f t="shared" si="2"/>
        <v>0</v>
      </c>
      <c r="H107" s="366" t="s">
        <v>400</v>
      </c>
    </row>
    <row r="108" spans="1:8" ht="21" customHeight="1" x14ac:dyDescent="0.3">
      <c r="A108" s="316">
        <v>45373</v>
      </c>
      <c r="B108" s="365"/>
      <c r="C108" s="136"/>
      <c r="D108" s="136"/>
      <c r="E108" s="136"/>
      <c r="F108" s="136"/>
      <c r="G108" s="276">
        <f t="shared" si="2"/>
        <v>0</v>
      </c>
      <c r="H108" s="368" t="s">
        <v>401</v>
      </c>
    </row>
    <row r="109" spans="1:8" ht="21" customHeight="1" x14ac:dyDescent="0.3">
      <c r="A109" s="316">
        <v>45373</v>
      </c>
      <c r="B109" s="365"/>
      <c r="C109" s="136"/>
      <c r="D109" s="136"/>
      <c r="E109" s="136"/>
      <c r="F109" s="136"/>
      <c r="G109" s="276">
        <f t="shared" si="2"/>
        <v>0</v>
      </c>
      <c r="H109" s="368">
        <v>3600000393</v>
      </c>
    </row>
    <row r="110" spans="1:8" ht="21" customHeight="1" x14ac:dyDescent="0.3">
      <c r="A110" s="316">
        <v>45378</v>
      </c>
      <c r="B110" s="365"/>
      <c r="C110" s="136"/>
      <c r="D110" s="136"/>
      <c r="E110" s="136"/>
      <c r="F110" s="136"/>
      <c r="G110" s="276">
        <f t="shared" si="2"/>
        <v>0</v>
      </c>
      <c r="H110" s="368" t="s">
        <v>402</v>
      </c>
    </row>
    <row r="111" spans="1:8" ht="21" customHeight="1" x14ac:dyDescent="0.3">
      <c r="A111" s="310"/>
      <c r="B111" s="357"/>
      <c r="C111" s="136"/>
      <c r="D111" s="136"/>
      <c r="E111" s="136"/>
      <c r="F111" s="136"/>
      <c r="G111" s="276">
        <f t="shared" si="2"/>
        <v>0</v>
      </c>
    </row>
    <row r="112" spans="1:8" ht="21" customHeight="1" x14ac:dyDescent="0.3">
      <c r="A112" s="310"/>
      <c r="B112" s="357"/>
      <c r="C112" s="136"/>
      <c r="D112" s="136"/>
      <c r="E112" s="136"/>
      <c r="F112" s="136"/>
      <c r="G112" s="276">
        <f t="shared" si="2"/>
        <v>0</v>
      </c>
      <c r="H112" s="362"/>
    </row>
    <row r="113" spans="1:8" ht="21" customHeight="1" x14ac:dyDescent="0.3">
      <c r="A113" s="310"/>
      <c r="B113" s="357"/>
      <c r="C113" s="136"/>
      <c r="D113" s="136"/>
      <c r="E113" s="136"/>
      <c r="F113" s="136"/>
      <c r="G113" s="276">
        <f t="shared" si="2"/>
        <v>0</v>
      </c>
    </row>
    <row r="114" spans="1:8" ht="21" customHeight="1" x14ac:dyDescent="0.3">
      <c r="A114" s="311" t="s">
        <v>233</v>
      </c>
      <c r="B114" s="363"/>
      <c r="C114" s="279">
        <f>SUM(C91:C113)</f>
        <v>0</v>
      </c>
      <c r="D114" s="279">
        <f>SUM(D91:D113)</f>
        <v>0</v>
      </c>
      <c r="E114" s="279">
        <f>SUM(E91:E113)</f>
        <v>0</v>
      </c>
      <c r="F114" s="279">
        <f>SUM(F91:F113)</f>
        <v>0</v>
      </c>
      <c r="G114" s="364">
        <f t="shared" si="2"/>
        <v>0</v>
      </c>
      <c r="H114" s="195"/>
    </row>
    <row r="115" spans="1:8" ht="21" customHeight="1" x14ac:dyDescent="0.3">
      <c r="A115" s="311" t="s">
        <v>234</v>
      </c>
      <c r="B115" s="363"/>
      <c r="C115" s="279">
        <f>SUM(C89+C114)</f>
        <v>111950</v>
      </c>
      <c r="D115" s="279">
        <f>SUM(D89+D114)</f>
        <v>10015</v>
      </c>
      <c r="E115" s="279">
        <f>SUM(E89+E114)</f>
        <v>175080</v>
      </c>
      <c r="F115" s="279">
        <f>SUM(F89+F114)</f>
        <v>559200</v>
      </c>
      <c r="G115" s="364">
        <f t="shared" si="2"/>
        <v>856245</v>
      </c>
      <c r="H115" s="195"/>
    </row>
    <row r="116" spans="1:8" ht="21" customHeight="1" x14ac:dyDescent="0.3">
      <c r="A116" s="311" t="s">
        <v>235</v>
      </c>
      <c r="B116" s="363"/>
      <c r="C116" s="279">
        <f>SUM(C90-C114)</f>
        <v>53050</v>
      </c>
      <c r="D116" s="279">
        <f>SUM(D90-D114)</f>
        <v>255185</v>
      </c>
      <c r="E116" s="279">
        <f>SUM(E90-E114)</f>
        <v>66920</v>
      </c>
      <c r="F116" s="279">
        <f>SUM(F90-F114)</f>
        <v>661200</v>
      </c>
      <c r="G116" s="364">
        <f t="shared" si="2"/>
        <v>1036355</v>
      </c>
      <c r="H116" s="195"/>
    </row>
    <row r="117" spans="1:8" ht="21" customHeight="1" x14ac:dyDescent="0.3">
      <c r="A117" s="277" t="s">
        <v>236</v>
      </c>
      <c r="B117" s="361"/>
      <c r="C117" s="136"/>
      <c r="D117" s="136"/>
      <c r="E117" s="136"/>
      <c r="F117" s="136"/>
      <c r="G117" s="276">
        <f t="shared" si="2"/>
        <v>0</v>
      </c>
    </row>
    <row r="118" spans="1:8" ht="21" customHeight="1" x14ac:dyDescent="0.3">
      <c r="A118" s="316">
        <v>45383</v>
      </c>
      <c r="B118" s="365"/>
      <c r="C118" s="136"/>
      <c r="D118" s="136"/>
      <c r="E118" s="136"/>
      <c r="F118" s="136"/>
      <c r="G118" s="276">
        <f t="shared" si="2"/>
        <v>0</v>
      </c>
      <c r="H118" s="366" t="s">
        <v>403</v>
      </c>
    </row>
    <row r="119" spans="1:8" ht="21" customHeight="1" x14ac:dyDescent="0.3">
      <c r="A119" s="316">
        <v>45384</v>
      </c>
      <c r="B119" s="365"/>
      <c r="C119" s="136"/>
      <c r="D119" s="136"/>
      <c r="E119" s="136"/>
      <c r="F119" s="136"/>
      <c r="G119" s="276">
        <f t="shared" si="2"/>
        <v>0</v>
      </c>
      <c r="H119" s="366" t="s">
        <v>404</v>
      </c>
    </row>
    <row r="120" spans="1:8" ht="21" customHeight="1" x14ac:dyDescent="0.3">
      <c r="A120" s="316">
        <v>45384</v>
      </c>
      <c r="B120" s="365"/>
      <c r="C120" s="136"/>
      <c r="D120" s="136"/>
      <c r="E120" s="136"/>
      <c r="F120" s="136"/>
      <c r="G120" s="276">
        <f t="shared" si="2"/>
        <v>0</v>
      </c>
      <c r="H120" s="366" t="s">
        <v>405</v>
      </c>
    </row>
    <row r="121" spans="1:8" ht="21" customHeight="1" x14ac:dyDescent="0.3">
      <c r="A121" s="316">
        <v>45384</v>
      </c>
      <c r="B121" s="365"/>
      <c r="C121" s="136"/>
      <c r="D121" s="136"/>
      <c r="E121" s="136"/>
      <c r="F121" s="136"/>
      <c r="G121" s="276">
        <f t="shared" si="2"/>
        <v>0</v>
      </c>
      <c r="H121" s="366" t="s">
        <v>406</v>
      </c>
    </row>
    <row r="122" spans="1:8" ht="21" customHeight="1" x14ac:dyDescent="0.3">
      <c r="A122" s="316">
        <v>45384</v>
      </c>
      <c r="B122" s="365"/>
      <c r="C122" s="136"/>
      <c r="D122" s="136"/>
      <c r="E122" s="136"/>
      <c r="F122" s="136"/>
      <c r="G122" s="276">
        <f t="shared" si="2"/>
        <v>0</v>
      </c>
      <c r="H122" s="366" t="s">
        <v>407</v>
      </c>
    </row>
    <row r="123" spans="1:8" ht="21" customHeight="1" x14ac:dyDescent="0.3">
      <c r="A123" s="316">
        <v>45386</v>
      </c>
      <c r="B123" s="365"/>
      <c r="C123" s="136"/>
      <c r="D123" s="136"/>
      <c r="E123" s="136"/>
      <c r="F123" s="136"/>
      <c r="G123" s="276">
        <f t="shared" si="2"/>
        <v>0</v>
      </c>
      <c r="H123" s="366" t="s">
        <v>408</v>
      </c>
    </row>
    <row r="124" spans="1:8" ht="21" customHeight="1" x14ac:dyDescent="0.3">
      <c r="A124" s="316">
        <v>45392</v>
      </c>
      <c r="B124" s="365"/>
      <c r="C124" s="136"/>
      <c r="D124" s="136"/>
      <c r="E124" s="136"/>
      <c r="F124" s="136"/>
      <c r="G124" s="276">
        <f t="shared" si="2"/>
        <v>0</v>
      </c>
      <c r="H124" s="366" t="s">
        <v>409</v>
      </c>
    </row>
    <row r="125" spans="1:8" ht="21" customHeight="1" x14ac:dyDescent="0.3">
      <c r="A125" s="316">
        <v>45404</v>
      </c>
      <c r="B125" s="365"/>
      <c r="C125" s="136"/>
      <c r="D125" s="136"/>
      <c r="E125" s="136"/>
      <c r="F125" s="136"/>
      <c r="G125" s="276">
        <f t="shared" si="2"/>
        <v>0</v>
      </c>
      <c r="H125" s="366" t="s">
        <v>410</v>
      </c>
    </row>
    <row r="126" spans="1:8" ht="21" customHeight="1" x14ac:dyDescent="0.3">
      <c r="A126" s="316">
        <v>45406</v>
      </c>
      <c r="B126" s="365"/>
      <c r="C126" s="136"/>
      <c r="D126" s="136"/>
      <c r="E126" s="136"/>
      <c r="F126" s="136"/>
      <c r="G126" s="276">
        <f t="shared" si="2"/>
        <v>0</v>
      </c>
      <c r="H126" s="366" t="s">
        <v>411</v>
      </c>
    </row>
    <row r="127" spans="1:8" ht="21" customHeight="1" x14ac:dyDescent="0.3">
      <c r="A127" s="310">
        <v>45406</v>
      </c>
      <c r="B127" s="357"/>
      <c r="C127" s="136"/>
      <c r="D127" s="136"/>
      <c r="E127" s="136"/>
      <c r="F127" s="136"/>
      <c r="G127" s="276">
        <f t="shared" si="2"/>
        <v>0</v>
      </c>
    </row>
    <row r="128" spans="1:8" ht="21" customHeight="1" x14ac:dyDescent="0.3">
      <c r="A128" s="310"/>
      <c r="B128" s="357"/>
      <c r="C128" s="136"/>
      <c r="D128" s="136"/>
      <c r="E128" s="136"/>
      <c r="F128" s="136"/>
      <c r="G128" s="276">
        <f t="shared" si="2"/>
        <v>0</v>
      </c>
    </row>
    <row r="129" spans="1:8" ht="21" customHeight="1" x14ac:dyDescent="0.3">
      <c r="A129" s="310"/>
      <c r="B129" s="357"/>
      <c r="C129" s="136"/>
      <c r="D129" s="136"/>
      <c r="E129" s="136"/>
      <c r="F129" s="136"/>
      <c r="G129" s="276">
        <f t="shared" si="2"/>
        <v>0</v>
      </c>
      <c r="H129" s="362"/>
    </row>
    <row r="130" spans="1:8" ht="21" customHeight="1" x14ac:dyDescent="0.3">
      <c r="A130" s="310"/>
      <c r="B130" s="357"/>
      <c r="C130" s="136"/>
      <c r="D130" s="136"/>
      <c r="E130" s="136"/>
      <c r="F130" s="136"/>
      <c r="G130" s="276">
        <f t="shared" si="2"/>
        <v>0</v>
      </c>
    </row>
    <row r="131" spans="1:8" ht="21" customHeight="1" x14ac:dyDescent="0.3">
      <c r="A131" s="311" t="s">
        <v>237</v>
      </c>
      <c r="B131" s="363"/>
      <c r="C131" s="279">
        <f>SUM(C117:C130)</f>
        <v>0</v>
      </c>
      <c r="D131" s="279">
        <f>SUM(D117:D130)</f>
        <v>0</v>
      </c>
      <c r="E131" s="279">
        <f>SUM(E117:E130)</f>
        <v>0</v>
      </c>
      <c r="F131" s="279">
        <f>SUM(F117:F130)</f>
        <v>0</v>
      </c>
      <c r="G131" s="364">
        <f t="shared" si="2"/>
        <v>0</v>
      </c>
      <c r="H131" s="195"/>
    </row>
    <row r="132" spans="1:8" ht="21" customHeight="1" x14ac:dyDescent="0.3">
      <c r="A132" s="311" t="s">
        <v>238</v>
      </c>
      <c r="B132" s="363"/>
      <c r="C132" s="279">
        <f>SUM(C115+C131)</f>
        <v>111950</v>
      </c>
      <c r="D132" s="279">
        <f>SUM(D115+D131)</f>
        <v>10015</v>
      </c>
      <c r="E132" s="279">
        <f>SUM(E115+E131)</f>
        <v>175080</v>
      </c>
      <c r="F132" s="279">
        <f>SUM(F115+F131)</f>
        <v>559200</v>
      </c>
      <c r="G132" s="364">
        <f t="shared" si="2"/>
        <v>856245</v>
      </c>
      <c r="H132" s="195"/>
    </row>
    <row r="133" spans="1:8" ht="21" customHeight="1" x14ac:dyDescent="0.3">
      <c r="A133" s="311" t="s">
        <v>239</v>
      </c>
      <c r="B133" s="363"/>
      <c r="C133" s="279">
        <f>SUM(C116-C131)+117400</f>
        <v>170450</v>
      </c>
      <c r="D133" s="279">
        <f>SUM(D116-D131)+177000</f>
        <v>432185</v>
      </c>
      <c r="E133" s="279">
        <f>SUM(E116-E131)+157900</f>
        <v>224820</v>
      </c>
      <c r="F133" s="279">
        <f>SUM(F116-F131)+813600</f>
        <v>1474800</v>
      </c>
      <c r="G133" s="364">
        <f t="shared" si="2"/>
        <v>2302255</v>
      </c>
      <c r="H133" s="195"/>
    </row>
    <row r="134" spans="1:8" ht="21" customHeight="1" x14ac:dyDescent="0.3">
      <c r="A134" s="277" t="s">
        <v>240</v>
      </c>
      <c r="B134" s="361"/>
      <c r="C134" s="136"/>
      <c r="D134" s="136"/>
      <c r="E134" s="136"/>
      <c r="F134" s="136"/>
      <c r="G134" s="276">
        <f t="shared" si="2"/>
        <v>0</v>
      </c>
    </row>
    <row r="135" spans="1:8" ht="21" customHeight="1" x14ac:dyDescent="0.3">
      <c r="A135" s="316">
        <v>45414</v>
      </c>
      <c r="B135" s="365"/>
      <c r="C135" s="136"/>
      <c r="D135" s="136"/>
      <c r="E135" s="136"/>
      <c r="F135" s="136"/>
      <c r="G135" s="276">
        <f t="shared" si="2"/>
        <v>0</v>
      </c>
      <c r="H135" s="366" t="s">
        <v>412</v>
      </c>
    </row>
    <row r="136" spans="1:8" ht="21" customHeight="1" x14ac:dyDescent="0.3">
      <c r="A136" s="316">
        <v>45414</v>
      </c>
      <c r="B136" s="365"/>
      <c r="C136" s="136"/>
      <c r="D136" s="136"/>
      <c r="E136" s="136"/>
      <c r="F136" s="136"/>
      <c r="G136" s="276">
        <f t="shared" si="2"/>
        <v>0</v>
      </c>
      <c r="H136" s="366" t="s">
        <v>413</v>
      </c>
    </row>
    <row r="137" spans="1:8" ht="21" customHeight="1" x14ac:dyDescent="0.3">
      <c r="A137" s="316">
        <v>45414</v>
      </c>
      <c r="B137" s="365"/>
      <c r="C137" s="136"/>
      <c r="D137" s="136"/>
      <c r="E137" s="136"/>
      <c r="F137" s="136"/>
      <c r="G137" s="276">
        <f t="shared" si="2"/>
        <v>0</v>
      </c>
      <c r="H137" s="366" t="s">
        <v>414</v>
      </c>
    </row>
    <row r="138" spans="1:8" ht="21" customHeight="1" x14ac:dyDescent="0.3">
      <c r="A138" s="316">
        <v>45414</v>
      </c>
      <c r="B138" s="365"/>
      <c r="C138" s="136"/>
      <c r="D138" s="136"/>
      <c r="E138" s="136"/>
      <c r="F138" s="136"/>
      <c r="G138" s="276">
        <f t="shared" si="2"/>
        <v>0</v>
      </c>
      <c r="H138" s="366" t="s">
        <v>415</v>
      </c>
    </row>
    <row r="139" spans="1:8" ht="21" customHeight="1" x14ac:dyDescent="0.3">
      <c r="A139" s="316">
        <v>45414</v>
      </c>
      <c r="B139" s="365"/>
      <c r="C139" s="136"/>
      <c r="D139" s="136"/>
      <c r="E139" s="136"/>
      <c r="F139" s="136"/>
      <c r="G139" s="276">
        <f t="shared" si="2"/>
        <v>0</v>
      </c>
      <c r="H139" s="366" t="s">
        <v>416</v>
      </c>
    </row>
    <row r="140" spans="1:8" ht="21" customHeight="1" x14ac:dyDescent="0.3">
      <c r="A140" s="316">
        <v>45420</v>
      </c>
      <c r="B140" s="365"/>
      <c r="C140" s="136"/>
      <c r="D140" s="136"/>
      <c r="E140" s="136"/>
      <c r="F140" s="136"/>
      <c r="G140" s="276">
        <f t="shared" si="2"/>
        <v>0</v>
      </c>
      <c r="H140" s="366" t="s">
        <v>417</v>
      </c>
    </row>
    <row r="141" spans="1:8" ht="21" customHeight="1" x14ac:dyDescent="0.3">
      <c r="A141" s="316">
        <v>45420</v>
      </c>
      <c r="B141" s="365"/>
      <c r="C141" s="136"/>
      <c r="D141" s="136"/>
      <c r="E141" s="136"/>
      <c r="F141" s="136"/>
      <c r="G141" s="276">
        <f t="shared" si="2"/>
        <v>0</v>
      </c>
      <c r="H141" s="366" t="s">
        <v>418</v>
      </c>
    </row>
    <row r="142" spans="1:8" ht="21" customHeight="1" x14ac:dyDescent="0.3">
      <c r="A142" s="316">
        <v>45420</v>
      </c>
      <c r="B142" s="365"/>
      <c r="C142" s="136"/>
      <c r="D142" s="136"/>
      <c r="E142" s="136"/>
      <c r="F142" s="136"/>
      <c r="G142" s="276">
        <f t="shared" si="2"/>
        <v>0</v>
      </c>
      <c r="H142" s="366" t="s">
        <v>419</v>
      </c>
    </row>
    <row r="143" spans="1:8" ht="21" customHeight="1" x14ac:dyDescent="0.3">
      <c r="A143" s="316">
        <v>45420</v>
      </c>
      <c r="B143" s="365"/>
      <c r="C143" s="136"/>
      <c r="D143" s="136"/>
      <c r="E143" s="136"/>
      <c r="F143" s="136"/>
      <c r="G143" s="276">
        <f t="shared" si="2"/>
        <v>0</v>
      </c>
      <c r="H143" s="366" t="s">
        <v>420</v>
      </c>
    </row>
    <row r="144" spans="1:8" ht="21" customHeight="1" x14ac:dyDescent="0.3">
      <c r="A144" s="316">
        <v>45425</v>
      </c>
      <c r="B144" s="365"/>
      <c r="C144" s="136"/>
      <c r="D144" s="136"/>
      <c r="E144" s="136"/>
      <c r="F144" s="136"/>
      <c r="G144" s="276">
        <f t="shared" si="2"/>
        <v>0</v>
      </c>
      <c r="H144" s="366" t="s">
        <v>421</v>
      </c>
    </row>
    <row r="145" spans="1:8" ht="21" customHeight="1" x14ac:dyDescent="0.3">
      <c r="A145" s="316">
        <v>45425</v>
      </c>
      <c r="B145" s="365"/>
      <c r="C145" s="136"/>
      <c r="D145" s="136"/>
      <c r="E145" s="136"/>
      <c r="F145" s="136"/>
      <c r="G145" s="276">
        <f t="shared" si="2"/>
        <v>0</v>
      </c>
      <c r="H145" s="366" t="s">
        <v>422</v>
      </c>
    </row>
    <row r="146" spans="1:8" ht="21" customHeight="1" x14ac:dyDescent="0.3">
      <c r="A146" s="316">
        <v>45426</v>
      </c>
      <c r="B146" s="365"/>
      <c r="C146" s="136"/>
      <c r="D146" s="136"/>
      <c r="E146" s="136"/>
      <c r="F146" s="136"/>
      <c r="G146" s="276">
        <f t="shared" si="2"/>
        <v>0</v>
      </c>
      <c r="H146" s="366" t="s">
        <v>423</v>
      </c>
    </row>
    <row r="147" spans="1:8" ht="21" customHeight="1" x14ac:dyDescent="0.3">
      <c r="A147" s="316">
        <v>45426</v>
      </c>
      <c r="B147" s="365"/>
      <c r="C147" s="136"/>
      <c r="D147" s="136"/>
      <c r="E147" s="136"/>
      <c r="F147" s="136"/>
      <c r="G147" s="276">
        <f t="shared" si="2"/>
        <v>0</v>
      </c>
      <c r="H147" s="366" t="s">
        <v>424</v>
      </c>
    </row>
    <row r="148" spans="1:8" ht="21" customHeight="1" x14ac:dyDescent="0.3">
      <c r="A148" s="316">
        <v>45428</v>
      </c>
      <c r="B148" s="365"/>
      <c r="C148" s="136"/>
      <c r="D148" s="136"/>
      <c r="E148" s="136"/>
      <c r="F148" s="136"/>
      <c r="G148" s="276">
        <f t="shared" si="2"/>
        <v>0</v>
      </c>
      <c r="H148" s="369" t="s">
        <v>425</v>
      </c>
    </row>
    <row r="149" spans="1:8" ht="21" customHeight="1" x14ac:dyDescent="0.3">
      <c r="A149" s="316">
        <v>45429</v>
      </c>
      <c r="B149" s="365"/>
      <c r="C149" s="136"/>
      <c r="D149" s="136"/>
      <c r="E149" s="136"/>
      <c r="F149" s="136"/>
      <c r="G149" s="276">
        <f t="shared" si="2"/>
        <v>0</v>
      </c>
      <c r="H149" s="366" t="s">
        <v>426</v>
      </c>
    </row>
    <row r="150" spans="1:8" ht="21" customHeight="1" x14ac:dyDescent="0.3">
      <c r="A150" s="316">
        <v>45432</v>
      </c>
      <c r="B150" s="365"/>
      <c r="C150" s="136"/>
      <c r="D150" s="136"/>
      <c r="E150" s="136"/>
      <c r="F150" s="136"/>
      <c r="G150" s="276">
        <f t="shared" si="2"/>
        <v>0</v>
      </c>
      <c r="H150" s="366" t="s">
        <v>427</v>
      </c>
    </row>
    <row r="151" spans="1:8" ht="21" customHeight="1" x14ac:dyDescent="0.3">
      <c r="A151" s="316">
        <v>45433</v>
      </c>
      <c r="B151" s="365"/>
      <c r="C151" s="304"/>
      <c r="D151" s="136"/>
      <c r="E151" s="136"/>
      <c r="F151" s="136"/>
      <c r="G151" s="276">
        <f t="shared" si="2"/>
        <v>0</v>
      </c>
      <c r="H151" s="366" t="s">
        <v>428</v>
      </c>
    </row>
    <row r="152" spans="1:8" ht="21" customHeight="1" x14ac:dyDescent="0.3">
      <c r="A152" s="316">
        <v>45439</v>
      </c>
      <c r="B152" s="365"/>
      <c r="C152" s="136"/>
      <c r="D152" s="136"/>
      <c r="E152" s="136"/>
      <c r="F152" s="136"/>
      <c r="G152" s="276">
        <f t="shared" si="2"/>
        <v>0</v>
      </c>
      <c r="H152" s="369" t="s">
        <v>429</v>
      </c>
    </row>
    <row r="153" spans="1:8" ht="21" customHeight="1" x14ac:dyDescent="0.3">
      <c r="A153" s="316">
        <v>45443</v>
      </c>
      <c r="B153" s="365"/>
      <c r="C153" s="136"/>
      <c r="D153" s="136"/>
      <c r="E153" s="136"/>
      <c r="F153" s="136"/>
      <c r="G153" s="276">
        <f t="shared" si="2"/>
        <v>0</v>
      </c>
      <c r="H153" s="366" t="s">
        <v>430</v>
      </c>
    </row>
    <row r="154" spans="1:8" ht="21" customHeight="1" x14ac:dyDescent="0.3">
      <c r="A154" s="310">
        <v>45436</v>
      </c>
      <c r="B154" s="357"/>
      <c r="C154" s="136"/>
      <c r="D154" s="136"/>
      <c r="E154" s="136"/>
      <c r="F154" s="136"/>
      <c r="G154" s="276">
        <f t="shared" si="2"/>
        <v>0</v>
      </c>
    </row>
    <row r="155" spans="1:8" ht="21" customHeight="1" x14ac:dyDescent="0.3">
      <c r="A155" s="311" t="s">
        <v>241</v>
      </c>
      <c r="B155" s="363"/>
      <c r="C155" s="279">
        <f>SUM(C134:C154)</f>
        <v>0</v>
      </c>
      <c r="D155" s="279">
        <f>SUM(D134:D154)</f>
        <v>0</v>
      </c>
      <c r="E155" s="279">
        <f>SUM(E134:E154)</f>
        <v>0</v>
      </c>
      <c r="F155" s="279">
        <f>SUM(F134:F154)</f>
        <v>0</v>
      </c>
      <c r="G155" s="364">
        <f t="shared" si="2"/>
        <v>0</v>
      </c>
      <c r="H155" s="195"/>
    </row>
    <row r="156" spans="1:8" ht="21" customHeight="1" x14ac:dyDescent="0.3">
      <c r="A156" s="311" t="s">
        <v>242</v>
      </c>
      <c r="B156" s="363"/>
      <c r="C156" s="279">
        <f>SUM(C132+C155)</f>
        <v>111950</v>
      </c>
      <c r="D156" s="279">
        <f>SUM(D132+D155)</f>
        <v>10015</v>
      </c>
      <c r="E156" s="279">
        <f>SUM(E132+E155)</f>
        <v>175080</v>
      </c>
      <c r="F156" s="279">
        <f>SUM(F132+F155)</f>
        <v>559200</v>
      </c>
      <c r="G156" s="364">
        <f t="shared" si="2"/>
        <v>856245</v>
      </c>
      <c r="H156" s="195"/>
    </row>
    <row r="157" spans="1:8" ht="21" customHeight="1" x14ac:dyDescent="0.3">
      <c r="A157" s="311" t="s">
        <v>243</v>
      </c>
      <c r="B157" s="363"/>
      <c r="C157" s="279">
        <f>SUM(C133-C155)</f>
        <v>170450</v>
      </c>
      <c r="D157" s="279">
        <f>SUM(D133-D155)</f>
        <v>432185</v>
      </c>
      <c r="E157" s="279">
        <f>SUM(E133-E155)</f>
        <v>224820</v>
      </c>
      <c r="F157" s="279">
        <f>SUM(F133-F155)</f>
        <v>1474800</v>
      </c>
      <c r="G157" s="364">
        <f t="shared" si="2"/>
        <v>2302255</v>
      </c>
      <c r="H157" s="195"/>
    </row>
    <row r="158" spans="1:8" ht="21" customHeight="1" x14ac:dyDescent="0.3">
      <c r="A158" s="277" t="s">
        <v>244</v>
      </c>
      <c r="B158" s="361"/>
      <c r="C158" s="136"/>
      <c r="D158" s="136"/>
      <c r="E158" s="136"/>
      <c r="F158" s="136"/>
      <c r="G158" s="276">
        <f t="shared" si="2"/>
        <v>0</v>
      </c>
    </row>
    <row r="159" spans="1:8" ht="21" customHeight="1" x14ac:dyDescent="0.3">
      <c r="A159" s="310">
        <v>45571</v>
      </c>
      <c r="B159" s="357"/>
      <c r="C159" s="136"/>
      <c r="D159" s="136"/>
      <c r="E159" s="136"/>
      <c r="F159" s="136"/>
      <c r="G159" s="276">
        <f t="shared" si="2"/>
        <v>0</v>
      </c>
      <c r="H159" s="137" t="s">
        <v>431</v>
      </c>
    </row>
    <row r="160" spans="1:8" ht="21" customHeight="1" x14ac:dyDescent="0.3">
      <c r="A160" s="310">
        <v>45602</v>
      </c>
      <c r="B160" s="357"/>
      <c r="C160" s="136"/>
      <c r="D160" s="136"/>
      <c r="E160" s="136"/>
      <c r="F160" s="136"/>
      <c r="G160" s="276">
        <f t="shared" si="2"/>
        <v>0</v>
      </c>
      <c r="H160" s="137" t="s">
        <v>432</v>
      </c>
    </row>
    <row r="161" spans="1:8" ht="21" customHeight="1" x14ac:dyDescent="0.3">
      <c r="A161" s="312" t="s">
        <v>355</v>
      </c>
      <c r="B161" s="370"/>
      <c r="C161" s="136"/>
      <c r="D161" s="136"/>
      <c r="E161" s="136"/>
      <c r="F161" s="136"/>
      <c r="G161" s="276">
        <f t="shared" si="2"/>
        <v>0</v>
      </c>
      <c r="H161" s="137" t="s">
        <v>433</v>
      </c>
    </row>
    <row r="162" spans="1:8" ht="21" customHeight="1" x14ac:dyDescent="0.3">
      <c r="A162" s="312" t="s">
        <v>355</v>
      </c>
      <c r="B162" s="370"/>
      <c r="C162" s="136"/>
      <c r="D162" s="136"/>
      <c r="E162" s="136"/>
      <c r="F162" s="136"/>
      <c r="G162" s="276">
        <f t="shared" si="2"/>
        <v>0</v>
      </c>
      <c r="H162" s="137" t="s">
        <v>434</v>
      </c>
    </row>
    <row r="163" spans="1:8" ht="21" customHeight="1" x14ac:dyDescent="0.3">
      <c r="A163" s="312" t="s">
        <v>355</v>
      </c>
      <c r="B163" s="370"/>
      <c r="C163" s="136"/>
      <c r="D163" s="136"/>
      <c r="E163" s="136"/>
      <c r="F163" s="136"/>
      <c r="G163" s="276">
        <f t="shared" si="2"/>
        <v>0</v>
      </c>
      <c r="H163" s="137" t="s">
        <v>435</v>
      </c>
    </row>
    <row r="164" spans="1:8" ht="21" customHeight="1" x14ac:dyDescent="0.3">
      <c r="A164" s="312" t="s">
        <v>356</v>
      </c>
      <c r="B164" s="370"/>
      <c r="C164" s="136"/>
      <c r="D164" s="136"/>
      <c r="E164" s="136"/>
      <c r="F164" s="136"/>
      <c r="G164" s="276">
        <f t="shared" si="2"/>
        <v>0</v>
      </c>
      <c r="H164" s="137" t="s">
        <v>436</v>
      </c>
    </row>
    <row r="165" spans="1:8" ht="21" customHeight="1" x14ac:dyDescent="0.3">
      <c r="A165" s="312" t="s">
        <v>356</v>
      </c>
      <c r="B165" s="370"/>
      <c r="C165" s="136"/>
      <c r="D165" s="136"/>
      <c r="E165" s="136"/>
      <c r="F165" s="136"/>
      <c r="G165" s="276">
        <f t="shared" si="2"/>
        <v>0</v>
      </c>
      <c r="H165" s="137" t="s">
        <v>437</v>
      </c>
    </row>
    <row r="166" spans="1:8" ht="21" customHeight="1" x14ac:dyDescent="0.3">
      <c r="A166" s="312" t="s">
        <v>263</v>
      </c>
      <c r="B166" s="370"/>
      <c r="C166" s="136"/>
      <c r="D166" s="136"/>
      <c r="E166" s="136"/>
      <c r="F166" s="136"/>
      <c r="G166" s="276">
        <f t="shared" si="2"/>
        <v>0</v>
      </c>
      <c r="H166" s="137" t="s">
        <v>438</v>
      </c>
    </row>
    <row r="167" spans="1:8" ht="21" customHeight="1" x14ac:dyDescent="0.3">
      <c r="A167" s="312">
        <v>45467</v>
      </c>
      <c r="B167" s="370"/>
      <c r="C167" s="136"/>
      <c r="D167" s="136"/>
      <c r="E167" s="136"/>
      <c r="F167" s="136"/>
      <c r="G167" s="276">
        <f t="shared" si="2"/>
        <v>0</v>
      </c>
      <c r="H167" s="137" t="s">
        <v>439</v>
      </c>
    </row>
    <row r="168" spans="1:8" ht="21" customHeight="1" x14ac:dyDescent="0.3">
      <c r="A168" s="312">
        <v>45467</v>
      </c>
      <c r="B168" s="370"/>
      <c r="C168" s="136"/>
      <c r="D168" s="136"/>
      <c r="E168" s="136"/>
      <c r="F168" s="136"/>
      <c r="G168" s="276">
        <f t="shared" si="2"/>
        <v>0</v>
      </c>
      <c r="H168" s="137" t="s">
        <v>440</v>
      </c>
    </row>
    <row r="169" spans="1:8" ht="21" customHeight="1" x14ac:dyDescent="0.3">
      <c r="A169" s="312" t="s">
        <v>267</v>
      </c>
      <c r="B169" s="370"/>
      <c r="C169" s="136"/>
      <c r="D169" s="136"/>
      <c r="E169" s="136"/>
      <c r="F169" s="136"/>
      <c r="G169" s="276">
        <f t="shared" si="2"/>
        <v>0</v>
      </c>
    </row>
    <row r="170" spans="1:8" ht="21" customHeight="1" x14ac:dyDescent="0.3">
      <c r="A170" s="312"/>
      <c r="B170" s="370"/>
      <c r="C170" s="136"/>
      <c r="D170" s="136"/>
      <c r="E170" s="136"/>
      <c r="F170" s="136"/>
      <c r="G170" s="276">
        <f t="shared" si="2"/>
        <v>0</v>
      </c>
    </row>
    <row r="171" spans="1:8" ht="21" customHeight="1" x14ac:dyDescent="0.3">
      <c r="A171" s="312"/>
      <c r="B171" s="370"/>
      <c r="C171" s="136"/>
      <c r="D171" s="136"/>
      <c r="E171" s="136"/>
      <c r="F171" s="136"/>
      <c r="G171" s="276">
        <f t="shared" si="2"/>
        <v>0</v>
      </c>
      <c r="H171" s="362"/>
    </row>
    <row r="172" spans="1:8" ht="21" customHeight="1" x14ac:dyDescent="0.3">
      <c r="A172" s="310"/>
      <c r="B172" s="357"/>
      <c r="C172" s="136"/>
      <c r="D172" s="136"/>
      <c r="E172" s="136"/>
      <c r="F172" s="136"/>
      <c r="G172" s="276">
        <f t="shared" si="2"/>
        <v>0</v>
      </c>
    </row>
    <row r="173" spans="1:8" ht="21" customHeight="1" x14ac:dyDescent="0.3">
      <c r="A173" s="311" t="s">
        <v>245</v>
      </c>
      <c r="B173" s="363"/>
      <c r="C173" s="279">
        <f>SUM(C158:C172)</f>
        <v>0</v>
      </c>
      <c r="D173" s="279">
        <f>SUM(D158:D172)</f>
        <v>0</v>
      </c>
      <c r="E173" s="279">
        <f>SUM(E158:E172)</f>
        <v>0</v>
      </c>
      <c r="F173" s="279">
        <f>SUM(F158:F172)</f>
        <v>0</v>
      </c>
      <c r="G173" s="364">
        <f t="shared" si="2"/>
        <v>0</v>
      </c>
      <c r="H173" s="195"/>
    </row>
    <row r="174" spans="1:8" ht="21" customHeight="1" x14ac:dyDescent="0.3">
      <c r="A174" s="311" t="s">
        <v>246</v>
      </c>
      <c r="B174" s="363"/>
      <c r="C174" s="279">
        <f>SUM(C156+C173)</f>
        <v>111950</v>
      </c>
      <c r="D174" s="279">
        <f>SUM(D156+D173)</f>
        <v>10015</v>
      </c>
      <c r="E174" s="279">
        <f>SUM(E156+E173)</f>
        <v>175080</v>
      </c>
      <c r="F174" s="279">
        <f>SUM(F156+F173)</f>
        <v>559200</v>
      </c>
      <c r="G174" s="364">
        <f t="shared" si="2"/>
        <v>856245</v>
      </c>
      <c r="H174" s="195"/>
    </row>
    <row r="175" spans="1:8" ht="21" customHeight="1" x14ac:dyDescent="0.3">
      <c r="A175" s="311" t="s">
        <v>247</v>
      </c>
      <c r="B175" s="363"/>
      <c r="C175" s="279">
        <f>SUM(C157-C173)</f>
        <v>170450</v>
      </c>
      <c r="D175" s="279">
        <f>SUM(D157-D173)</f>
        <v>432185</v>
      </c>
      <c r="E175" s="279">
        <f>SUM(E157-E173)</f>
        <v>224820</v>
      </c>
      <c r="F175" s="279">
        <f>SUM(F157-F173)</f>
        <v>1474800</v>
      </c>
      <c r="G175" s="364">
        <f t="shared" si="2"/>
        <v>2302255</v>
      </c>
      <c r="H175" s="195"/>
    </row>
    <row r="176" spans="1:8" ht="21" customHeight="1" x14ac:dyDescent="0.3">
      <c r="A176" s="277" t="s">
        <v>248</v>
      </c>
      <c r="B176" s="361"/>
      <c r="C176" s="136"/>
      <c r="D176" s="136"/>
      <c r="E176" s="136"/>
      <c r="F176" s="136"/>
      <c r="G176" s="276">
        <f t="shared" si="2"/>
        <v>0</v>
      </c>
    </row>
    <row r="177" spans="1:8" ht="21" customHeight="1" x14ac:dyDescent="0.3">
      <c r="A177" s="310">
        <v>45481</v>
      </c>
      <c r="B177" s="357"/>
      <c r="C177" s="975"/>
      <c r="D177" s="975"/>
      <c r="E177" s="976"/>
      <c r="F177" s="975"/>
      <c r="G177" s="276">
        <f t="shared" si="2"/>
        <v>0</v>
      </c>
      <c r="H177" s="137" t="s">
        <v>441</v>
      </c>
    </row>
    <row r="178" spans="1:8" ht="21" customHeight="1" x14ac:dyDescent="0.3">
      <c r="A178" s="310">
        <v>45481</v>
      </c>
      <c r="B178" s="371"/>
      <c r="C178" s="976"/>
      <c r="D178" s="976"/>
      <c r="E178" s="976"/>
      <c r="F178" s="976"/>
      <c r="G178" s="372">
        <f t="shared" si="2"/>
        <v>0</v>
      </c>
      <c r="H178" s="137" t="s">
        <v>442</v>
      </c>
    </row>
    <row r="179" spans="1:8" ht="21" customHeight="1" x14ac:dyDescent="0.3">
      <c r="A179" s="310">
        <v>45481</v>
      </c>
      <c r="B179" s="371"/>
      <c r="C179" s="976"/>
      <c r="D179" s="976"/>
      <c r="E179" s="976"/>
      <c r="F179" s="976"/>
      <c r="G179" s="372">
        <f t="shared" si="2"/>
        <v>0</v>
      </c>
      <c r="H179" s="137" t="s">
        <v>443</v>
      </c>
    </row>
    <row r="180" spans="1:8" ht="21" customHeight="1" x14ac:dyDescent="0.3">
      <c r="A180" s="310">
        <v>45482</v>
      </c>
      <c r="B180" s="371"/>
      <c r="C180" s="976"/>
      <c r="D180" s="976"/>
      <c r="E180" s="976"/>
      <c r="F180" s="976"/>
      <c r="G180" s="372">
        <f t="shared" si="2"/>
        <v>0</v>
      </c>
      <c r="H180" s="137" t="s">
        <v>444</v>
      </c>
    </row>
    <row r="181" spans="1:8" ht="21" customHeight="1" x14ac:dyDescent="0.3">
      <c r="A181" s="310">
        <v>45483</v>
      </c>
      <c r="B181" s="357"/>
      <c r="C181" s="976"/>
      <c r="D181" s="976"/>
      <c r="E181" s="976"/>
      <c r="F181" s="976"/>
      <c r="G181" s="372">
        <f>SUM(B181:F181)</f>
        <v>0</v>
      </c>
      <c r="H181" s="137" t="s">
        <v>445</v>
      </c>
    </row>
    <row r="182" spans="1:8" ht="21" customHeight="1" x14ac:dyDescent="0.3">
      <c r="A182" s="310">
        <v>45484</v>
      </c>
      <c r="B182" s="371"/>
      <c r="C182" s="976"/>
      <c r="D182" s="976"/>
      <c r="E182" s="976"/>
      <c r="F182" s="976"/>
      <c r="G182" s="372">
        <f>SUM(C182:F182)</f>
        <v>0</v>
      </c>
      <c r="H182" s="137" t="s">
        <v>446</v>
      </c>
    </row>
    <row r="183" spans="1:8" ht="21" customHeight="1" x14ac:dyDescent="0.3">
      <c r="A183" s="310">
        <v>45485</v>
      </c>
      <c r="B183" s="371"/>
      <c r="C183" s="976"/>
      <c r="D183" s="976"/>
      <c r="E183" s="976"/>
      <c r="F183" s="976"/>
      <c r="G183" s="372">
        <f>SUM(C183:F183)</f>
        <v>0</v>
      </c>
      <c r="H183" s="137" t="s">
        <v>447</v>
      </c>
    </row>
    <row r="184" spans="1:8" ht="21" customHeight="1" x14ac:dyDescent="0.3">
      <c r="A184" s="310">
        <v>45491</v>
      </c>
      <c r="B184" s="371"/>
      <c r="C184" s="976"/>
      <c r="D184" s="976"/>
      <c r="E184" s="976"/>
      <c r="F184" s="976"/>
      <c r="G184" s="372">
        <f>SUM(C184:F184)</f>
        <v>0</v>
      </c>
      <c r="H184" s="137" t="s">
        <v>448</v>
      </c>
    </row>
    <row r="185" spans="1:8" ht="21" customHeight="1" x14ac:dyDescent="0.3">
      <c r="A185" s="310">
        <v>45491</v>
      </c>
      <c r="B185" s="371"/>
      <c r="C185" s="976"/>
      <c r="D185" s="976"/>
      <c r="E185" s="976"/>
      <c r="F185" s="976"/>
      <c r="G185" s="372">
        <f>SUM(B185:F185)</f>
        <v>0</v>
      </c>
      <c r="H185" s="137" t="s">
        <v>449</v>
      </c>
    </row>
    <row r="186" spans="1:8" ht="21" customHeight="1" x14ac:dyDescent="0.3">
      <c r="A186" s="310">
        <v>45491</v>
      </c>
      <c r="B186" s="252"/>
      <c r="C186" s="976"/>
      <c r="D186" s="976"/>
      <c r="E186" s="976"/>
      <c r="F186" s="976"/>
      <c r="G186" s="372">
        <f>SUM(B186:F186)</f>
        <v>0</v>
      </c>
      <c r="H186" s="137" t="s">
        <v>450</v>
      </c>
    </row>
    <row r="187" spans="1:8" ht="21" customHeight="1" x14ac:dyDescent="0.3">
      <c r="A187" s="310">
        <v>45496</v>
      </c>
      <c r="B187" s="252"/>
      <c r="C187" s="976"/>
      <c r="D187" s="976"/>
      <c r="E187" s="976"/>
      <c r="F187" s="976"/>
      <c r="G187" s="372">
        <f>SUM(B187:F187)</f>
        <v>0</v>
      </c>
      <c r="H187" s="137" t="s">
        <v>451</v>
      </c>
    </row>
    <row r="188" spans="1:8" ht="21" customHeight="1" x14ac:dyDescent="0.3">
      <c r="A188" s="310">
        <v>45496</v>
      </c>
      <c r="B188" s="371"/>
      <c r="C188" s="976"/>
      <c r="D188" s="976"/>
      <c r="E188" s="976"/>
      <c r="F188" s="976"/>
      <c r="G188" s="372">
        <f t="shared" ref="G188:G269" si="3">SUM(C188:F188)</f>
        <v>0</v>
      </c>
      <c r="H188" s="137" t="s">
        <v>452</v>
      </c>
    </row>
    <row r="189" spans="1:8" ht="21" customHeight="1" x14ac:dyDescent="0.3">
      <c r="A189" s="310">
        <v>45498</v>
      </c>
      <c r="B189" s="371"/>
      <c r="C189" s="976"/>
      <c r="D189" s="976"/>
      <c r="E189" s="976"/>
      <c r="F189" s="976"/>
      <c r="G189" s="372">
        <f t="shared" si="3"/>
        <v>0</v>
      </c>
      <c r="H189" s="137" t="s">
        <v>453</v>
      </c>
    </row>
    <row r="190" spans="1:8" ht="21" customHeight="1" x14ac:dyDescent="0.3">
      <c r="A190" s="310">
        <v>45503</v>
      </c>
      <c r="B190" s="371"/>
      <c r="C190" s="976"/>
      <c r="D190" s="976"/>
      <c r="E190" s="976"/>
      <c r="F190" s="976"/>
      <c r="G190" s="372">
        <f t="shared" si="3"/>
        <v>0</v>
      </c>
      <c r="H190" s="137" t="s">
        <v>454</v>
      </c>
    </row>
    <row r="191" spans="1:8" ht="21" customHeight="1" x14ac:dyDescent="0.3">
      <c r="A191" s="310">
        <v>45496</v>
      </c>
      <c r="B191" s="371"/>
      <c r="C191" s="976"/>
      <c r="D191" s="976"/>
      <c r="E191" s="976"/>
      <c r="F191" s="976"/>
      <c r="G191" s="372">
        <f t="shared" si="3"/>
        <v>0</v>
      </c>
      <c r="H191" s="137">
        <v>3600000800</v>
      </c>
    </row>
    <row r="192" spans="1:8" ht="21" customHeight="1" x14ac:dyDescent="0.3">
      <c r="A192" s="310"/>
      <c r="B192" s="357"/>
      <c r="C192" s="136"/>
      <c r="D192" s="136"/>
      <c r="E192" s="136"/>
      <c r="F192" s="136"/>
      <c r="G192" s="276">
        <f t="shared" si="3"/>
        <v>0</v>
      </c>
      <c r="H192" s="362"/>
    </row>
    <row r="193" spans="1:8" ht="21" customHeight="1" x14ac:dyDescent="0.3">
      <c r="A193" s="310"/>
      <c r="B193" s="357"/>
      <c r="C193" s="136"/>
      <c r="D193" s="136"/>
      <c r="E193" s="136"/>
      <c r="F193" s="136"/>
      <c r="G193" s="276">
        <f t="shared" si="3"/>
        <v>0</v>
      </c>
    </row>
    <row r="194" spans="1:8" ht="21" customHeight="1" x14ac:dyDescent="0.3">
      <c r="A194" s="310"/>
      <c r="B194" s="357"/>
      <c r="C194" s="136"/>
      <c r="D194" s="136"/>
      <c r="E194" s="136"/>
      <c r="F194" s="136"/>
      <c r="G194" s="276">
        <f t="shared" si="3"/>
        <v>0</v>
      </c>
    </row>
    <row r="195" spans="1:8" ht="21" customHeight="1" x14ac:dyDescent="0.3">
      <c r="A195" s="310"/>
      <c r="B195" s="357"/>
      <c r="C195" s="136"/>
      <c r="D195" s="136"/>
      <c r="E195" s="136"/>
      <c r="F195" s="136"/>
      <c r="G195" s="276">
        <f t="shared" si="3"/>
        <v>0</v>
      </c>
      <c r="H195" s="362"/>
    </row>
    <row r="196" spans="1:8" ht="21" customHeight="1" x14ac:dyDescent="0.3">
      <c r="A196" s="310"/>
      <c r="B196" s="357"/>
      <c r="C196" s="136"/>
      <c r="D196" s="136"/>
      <c r="E196" s="136"/>
      <c r="F196" s="136"/>
      <c r="G196" s="276">
        <f t="shared" si="3"/>
        <v>0</v>
      </c>
    </row>
    <row r="197" spans="1:8" ht="21" customHeight="1" x14ac:dyDescent="0.3">
      <c r="A197" s="311" t="s">
        <v>249</v>
      </c>
      <c r="B197" s="363"/>
      <c r="C197" s="279">
        <f>SUM(C176:C196)</f>
        <v>0</v>
      </c>
      <c r="D197" s="279">
        <f>SUM(D176:D196)</f>
        <v>0</v>
      </c>
      <c r="E197" s="279">
        <f>SUM(E176:E196)</f>
        <v>0</v>
      </c>
      <c r="F197" s="279">
        <f>SUM(F176:F196)</f>
        <v>0</v>
      </c>
      <c r="G197" s="364">
        <f t="shared" si="3"/>
        <v>0</v>
      </c>
      <c r="H197" s="195"/>
    </row>
    <row r="198" spans="1:8" ht="21" customHeight="1" x14ac:dyDescent="0.3">
      <c r="A198" s="311" t="s">
        <v>250</v>
      </c>
      <c r="B198" s="363"/>
      <c r="C198" s="279">
        <f>SUM(C174+C197)</f>
        <v>111950</v>
      </c>
      <c r="D198" s="279">
        <f>SUM(D174+D197)</f>
        <v>10015</v>
      </c>
      <c r="E198" s="279">
        <f>SUM(E174+E197)</f>
        <v>175080</v>
      </c>
      <c r="F198" s="279">
        <f>SUM(F174+F197)</f>
        <v>559200</v>
      </c>
      <c r="G198" s="364">
        <f t="shared" si="3"/>
        <v>856245</v>
      </c>
      <c r="H198" s="195"/>
    </row>
    <row r="199" spans="1:8" ht="21" customHeight="1" x14ac:dyDescent="0.3">
      <c r="A199" s="311" t="s">
        <v>251</v>
      </c>
      <c r="B199" s="363"/>
      <c r="C199" s="279">
        <f>SUM(C175-C197)</f>
        <v>170450</v>
      </c>
      <c r="D199" s="279">
        <f>SUM(D175-D197)</f>
        <v>432185</v>
      </c>
      <c r="E199" s="279">
        <f>SUM(E175-E197)</f>
        <v>224820</v>
      </c>
      <c r="F199" s="279">
        <f>SUM(F175-F197)</f>
        <v>1474800</v>
      </c>
      <c r="G199" s="364">
        <f t="shared" si="3"/>
        <v>2302255</v>
      </c>
      <c r="H199" s="195"/>
    </row>
    <row r="200" spans="1:8" ht="21" customHeight="1" x14ac:dyDescent="0.3">
      <c r="A200" s="277" t="s">
        <v>252</v>
      </c>
      <c r="B200" s="361"/>
      <c r="C200" s="136"/>
      <c r="D200" s="136"/>
      <c r="E200" s="136"/>
      <c r="F200" s="136"/>
      <c r="G200" s="276">
        <f t="shared" si="3"/>
        <v>0</v>
      </c>
    </row>
    <row r="201" spans="1:8" ht="21" customHeight="1" x14ac:dyDescent="0.3">
      <c r="A201" s="310">
        <v>45505</v>
      </c>
      <c r="B201" s="357"/>
      <c r="C201" s="136"/>
      <c r="D201" s="136"/>
      <c r="E201" s="136"/>
      <c r="F201" s="136"/>
      <c r="G201" s="276">
        <f t="shared" si="3"/>
        <v>0</v>
      </c>
      <c r="H201" s="137" t="s">
        <v>455</v>
      </c>
    </row>
    <row r="202" spans="1:8" ht="21" customHeight="1" x14ac:dyDescent="0.3">
      <c r="A202" s="310">
        <v>45511</v>
      </c>
      <c r="B202" s="357"/>
      <c r="C202" s="136"/>
      <c r="D202" s="136"/>
      <c r="E202" s="136"/>
      <c r="F202" s="136"/>
      <c r="G202" s="276">
        <f t="shared" si="3"/>
        <v>0</v>
      </c>
      <c r="H202" s="137" t="s">
        <v>456</v>
      </c>
    </row>
    <row r="203" spans="1:8" ht="21" customHeight="1" x14ac:dyDescent="0.3">
      <c r="A203" s="310">
        <v>45512</v>
      </c>
      <c r="B203" s="357"/>
      <c r="C203" s="136"/>
      <c r="D203" s="136"/>
      <c r="E203" s="136"/>
      <c r="F203" s="136"/>
      <c r="G203" s="276">
        <f t="shared" si="3"/>
        <v>0</v>
      </c>
      <c r="H203" s="137" t="s">
        <v>457</v>
      </c>
    </row>
    <row r="204" spans="1:8" ht="21" customHeight="1" x14ac:dyDescent="0.3">
      <c r="A204" s="310">
        <v>45512</v>
      </c>
      <c r="B204" s="357"/>
      <c r="C204" s="136"/>
      <c r="D204" s="136"/>
      <c r="E204" s="136"/>
      <c r="F204" s="136"/>
      <c r="G204" s="276">
        <f t="shared" si="3"/>
        <v>0</v>
      </c>
      <c r="H204" s="137" t="s">
        <v>458</v>
      </c>
    </row>
    <row r="205" spans="1:8" ht="21" customHeight="1" x14ac:dyDescent="0.3">
      <c r="A205" s="310">
        <v>45519</v>
      </c>
      <c r="B205" s="357"/>
      <c r="C205" s="136"/>
      <c r="D205" s="136"/>
      <c r="E205" s="136"/>
      <c r="F205" s="136"/>
      <c r="G205" s="276">
        <f t="shared" si="3"/>
        <v>0</v>
      </c>
      <c r="H205" s="137" t="s">
        <v>459</v>
      </c>
    </row>
    <row r="206" spans="1:8" ht="21" customHeight="1" x14ac:dyDescent="0.3">
      <c r="A206" s="310">
        <v>45525</v>
      </c>
      <c r="B206" s="357"/>
      <c r="C206" s="136"/>
      <c r="D206" s="136"/>
      <c r="E206" s="136"/>
      <c r="F206" s="136"/>
      <c r="G206" s="276">
        <f t="shared" si="3"/>
        <v>0</v>
      </c>
      <c r="H206" s="137" t="s">
        <v>460</v>
      </c>
    </row>
    <row r="207" spans="1:8" ht="21" customHeight="1" x14ac:dyDescent="0.3">
      <c r="A207" s="310">
        <v>45527</v>
      </c>
      <c r="B207" s="357"/>
      <c r="C207" s="136"/>
      <c r="D207" s="136"/>
      <c r="E207" s="136"/>
      <c r="F207" s="136"/>
      <c r="G207" s="276">
        <f t="shared" si="3"/>
        <v>0</v>
      </c>
      <c r="H207" s="137" t="s">
        <v>461</v>
      </c>
    </row>
    <row r="208" spans="1:8" ht="21" customHeight="1" x14ac:dyDescent="0.3">
      <c r="A208" s="310">
        <v>45532</v>
      </c>
      <c r="B208" s="357"/>
      <c r="C208" s="136"/>
      <c r="D208" s="136"/>
      <c r="E208" s="136"/>
      <c r="F208" s="136"/>
      <c r="G208" s="276">
        <f t="shared" si="3"/>
        <v>0</v>
      </c>
      <c r="H208" s="137" t="s">
        <v>462</v>
      </c>
    </row>
    <row r="209" spans="1:8" ht="21" customHeight="1" x14ac:dyDescent="0.3">
      <c r="A209" s="312" t="s">
        <v>1010</v>
      </c>
      <c r="B209" s="357"/>
      <c r="C209" s="136"/>
      <c r="D209" s="136"/>
      <c r="E209" s="136"/>
      <c r="F209" s="136"/>
      <c r="G209" s="276">
        <f t="shared" si="3"/>
        <v>0</v>
      </c>
      <c r="H209" s="131">
        <v>3600000928</v>
      </c>
    </row>
    <row r="210" spans="1:8" ht="21" customHeight="1" x14ac:dyDescent="0.3">
      <c r="A210" s="310"/>
      <c r="B210" s="357"/>
      <c r="C210" s="136"/>
      <c r="D210" s="136"/>
      <c r="E210" s="136"/>
      <c r="F210" s="136"/>
      <c r="G210" s="276">
        <f t="shared" si="3"/>
        <v>0</v>
      </c>
    </row>
    <row r="211" spans="1:8" ht="21" customHeight="1" x14ac:dyDescent="0.3">
      <c r="A211" s="310"/>
      <c r="B211" s="357"/>
      <c r="C211" s="136"/>
      <c r="D211" s="136"/>
      <c r="E211" s="136"/>
      <c r="F211" s="136"/>
      <c r="G211" s="276">
        <f t="shared" si="3"/>
        <v>0</v>
      </c>
    </row>
    <row r="212" spans="1:8" ht="21" customHeight="1" x14ac:dyDescent="0.3">
      <c r="A212" s="310"/>
      <c r="B212" s="357"/>
      <c r="C212" s="136"/>
      <c r="D212" s="136"/>
      <c r="E212" s="136"/>
      <c r="F212" s="136"/>
      <c r="G212" s="276">
        <f t="shared" si="3"/>
        <v>0</v>
      </c>
    </row>
    <row r="213" spans="1:8" ht="21" customHeight="1" x14ac:dyDescent="0.3">
      <c r="A213" s="310"/>
      <c r="B213" s="357"/>
      <c r="C213" s="136"/>
      <c r="D213" s="136"/>
      <c r="E213" s="136"/>
      <c r="F213" s="136"/>
      <c r="G213" s="276">
        <f t="shared" si="3"/>
        <v>0</v>
      </c>
      <c r="H213" s="362"/>
    </row>
    <row r="214" spans="1:8" ht="21" customHeight="1" x14ac:dyDescent="0.3">
      <c r="A214" s="310"/>
      <c r="B214" s="357"/>
      <c r="C214" s="136"/>
      <c r="D214" s="136"/>
      <c r="E214" s="136"/>
      <c r="F214" s="136"/>
      <c r="G214" s="276">
        <f t="shared" si="3"/>
        <v>0</v>
      </c>
    </row>
    <row r="215" spans="1:8" ht="21" customHeight="1" x14ac:dyDescent="0.3">
      <c r="A215" s="311" t="s">
        <v>253</v>
      </c>
      <c r="B215" s="363"/>
      <c r="C215" s="279">
        <f>SUM(C200:C214)</f>
        <v>0</v>
      </c>
      <c r="D215" s="279">
        <f>SUM(D200:D214)</f>
        <v>0</v>
      </c>
      <c r="E215" s="279">
        <f>SUM(E200:E214)</f>
        <v>0</v>
      </c>
      <c r="F215" s="279">
        <f>SUM(F200:F214)</f>
        <v>0</v>
      </c>
      <c r="G215" s="364">
        <f t="shared" si="3"/>
        <v>0</v>
      </c>
      <c r="H215" s="195"/>
    </row>
    <row r="216" spans="1:8" ht="21" customHeight="1" x14ac:dyDescent="0.3">
      <c r="A216" s="311" t="s">
        <v>254</v>
      </c>
      <c r="B216" s="363"/>
      <c r="C216" s="279">
        <f>SUM(C198+C215)</f>
        <v>111950</v>
      </c>
      <c r="D216" s="279">
        <f>SUM(D198+D215)</f>
        <v>10015</v>
      </c>
      <c r="E216" s="279">
        <f>SUM(E198+E215)</f>
        <v>175080</v>
      </c>
      <c r="F216" s="279">
        <f>SUM(F198+F215)</f>
        <v>559200</v>
      </c>
      <c r="G216" s="364">
        <f t="shared" si="3"/>
        <v>856245</v>
      </c>
      <c r="H216" s="195"/>
    </row>
    <row r="217" spans="1:8" ht="21" customHeight="1" x14ac:dyDescent="0.3">
      <c r="A217" s="311" t="s">
        <v>255</v>
      </c>
      <c r="B217" s="363"/>
      <c r="C217" s="279">
        <f>SUM(C199-C215)</f>
        <v>170450</v>
      </c>
      <c r="D217" s="279">
        <f>SUM(D199-D215)</f>
        <v>432185</v>
      </c>
      <c r="E217" s="279">
        <f>SUM(E199-E215)</f>
        <v>224820</v>
      </c>
      <c r="F217" s="279">
        <f>SUM(F199-F215)</f>
        <v>1474800</v>
      </c>
      <c r="G217" s="364">
        <f t="shared" si="3"/>
        <v>2302255</v>
      </c>
      <c r="H217" s="195"/>
    </row>
    <row r="218" spans="1:8" ht="21" customHeight="1" x14ac:dyDescent="0.3">
      <c r="A218" s="277" t="s">
        <v>256</v>
      </c>
      <c r="B218" s="361"/>
      <c r="C218" s="136"/>
      <c r="D218" s="136"/>
      <c r="E218" s="136"/>
      <c r="F218" s="136"/>
      <c r="G218" s="276">
        <f t="shared" si="3"/>
        <v>0</v>
      </c>
    </row>
    <row r="219" spans="1:8" ht="21" customHeight="1" x14ac:dyDescent="0.3">
      <c r="A219" s="310">
        <v>45331</v>
      </c>
      <c r="B219" s="357"/>
      <c r="C219" s="136"/>
      <c r="D219" s="136"/>
      <c r="E219" s="136"/>
      <c r="F219" s="136"/>
      <c r="G219" s="663">
        <f t="shared" si="3"/>
        <v>0</v>
      </c>
      <c r="H219" s="137" t="s">
        <v>1031</v>
      </c>
    </row>
    <row r="220" spans="1:8" ht="21" customHeight="1" x14ac:dyDescent="0.3">
      <c r="A220" s="310">
        <v>45391</v>
      </c>
      <c r="B220" s="357"/>
      <c r="C220" s="136"/>
      <c r="D220" s="136"/>
      <c r="E220" s="136"/>
      <c r="F220" s="136"/>
      <c r="G220" s="663">
        <f t="shared" si="3"/>
        <v>0</v>
      </c>
      <c r="H220" s="137" t="s">
        <v>1033</v>
      </c>
    </row>
    <row r="221" spans="1:8" ht="21" customHeight="1" x14ac:dyDescent="0.3">
      <c r="A221" s="310">
        <v>45421</v>
      </c>
      <c r="B221" s="357"/>
      <c r="C221" s="136"/>
      <c r="D221" s="136"/>
      <c r="E221" s="136"/>
      <c r="F221" s="136"/>
      <c r="G221" s="663">
        <f t="shared" si="3"/>
        <v>0</v>
      </c>
      <c r="H221" s="137" t="s">
        <v>1041</v>
      </c>
    </row>
    <row r="222" spans="1:8" ht="21" customHeight="1" x14ac:dyDescent="0.3">
      <c r="A222" s="310">
        <v>45544</v>
      </c>
      <c r="B222" s="357"/>
      <c r="C222" s="136"/>
      <c r="D222" s="136"/>
      <c r="E222" s="136"/>
      <c r="F222" s="136"/>
      <c r="G222" s="663">
        <f t="shared" si="3"/>
        <v>0</v>
      </c>
      <c r="H222" s="137" t="s">
        <v>1049</v>
      </c>
    </row>
    <row r="223" spans="1:8" ht="21" customHeight="1" x14ac:dyDescent="0.3">
      <c r="A223" s="310">
        <v>45544</v>
      </c>
      <c r="B223" s="357"/>
      <c r="C223" s="136"/>
      <c r="D223" s="136"/>
      <c r="E223" s="136"/>
      <c r="F223" s="136"/>
      <c r="G223" s="663">
        <f t="shared" si="3"/>
        <v>0</v>
      </c>
      <c r="H223" s="137" t="s">
        <v>1050</v>
      </c>
    </row>
    <row r="224" spans="1:8" ht="21" customHeight="1" x14ac:dyDescent="0.3">
      <c r="A224" s="310">
        <v>45544</v>
      </c>
      <c r="B224" s="357"/>
      <c r="C224" s="136"/>
      <c r="D224" s="136"/>
      <c r="E224" s="136"/>
      <c r="F224" s="136"/>
      <c r="G224" s="663">
        <f t="shared" si="3"/>
        <v>0</v>
      </c>
      <c r="H224" s="137" t="s">
        <v>1051</v>
      </c>
    </row>
    <row r="225" spans="1:8" ht="21" customHeight="1" x14ac:dyDescent="0.3">
      <c r="A225" s="310">
        <v>45605</v>
      </c>
      <c r="B225" s="357"/>
      <c r="C225" s="136"/>
      <c r="D225" s="136"/>
      <c r="E225" s="136"/>
      <c r="F225" s="136"/>
      <c r="G225" s="663">
        <f t="shared" si="3"/>
        <v>0</v>
      </c>
      <c r="H225" s="137" t="s">
        <v>1055</v>
      </c>
    </row>
    <row r="226" spans="1:8" ht="21" customHeight="1" x14ac:dyDescent="0.3">
      <c r="A226" s="312" t="s">
        <v>1067</v>
      </c>
      <c r="B226" s="357"/>
      <c r="C226" s="136"/>
      <c r="D226" s="136"/>
      <c r="E226" s="136"/>
      <c r="F226" s="136"/>
      <c r="G226" s="663">
        <f>SUM(C226:F226)</f>
        <v>0</v>
      </c>
      <c r="H226" s="137" t="s">
        <v>1186</v>
      </c>
    </row>
    <row r="227" spans="1:8" ht="21" customHeight="1" x14ac:dyDescent="0.3">
      <c r="A227" s="312" t="s">
        <v>1067</v>
      </c>
      <c r="B227" s="357"/>
      <c r="C227" s="136"/>
      <c r="D227" s="136"/>
      <c r="E227" s="136"/>
      <c r="F227" s="136"/>
      <c r="G227" s="663">
        <f t="shared" si="3"/>
        <v>0</v>
      </c>
      <c r="H227" s="137" t="s">
        <v>1068</v>
      </c>
    </row>
    <row r="228" spans="1:8" ht="21" customHeight="1" x14ac:dyDescent="0.3">
      <c r="A228" s="312" t="s">
        <v>1067</v>
      </c>
      <c r="B228" s="357"/>
      <c r="C228" s="136"/>
      <c r="D228" s="136"/>
      <c r="E228" s="136"/>
      <c r="F228" s="136"/>
      <c r="G228" s="663">
        <f t="shared" si="3"/>
        <v>0</v>
      </c>
      <c r="H228" s="137" t="s">
        <v>1069</v>
      </c>
    </row>
    <row r="229" spans="1:8" ht="21" customHeight="1" x14ac:dyDescent="0.3">
      <c r="A229" s="312" t="s">
        <v>1067</v>
      </c>
      <c r="B229" s="357"/>
      <c r="C229" s="136"/>
      <c r="D229" s="136"/>
      <c r="E229" s="136"/>
      <c r="F229" s="136"/>
      <c r="G229" s="663">
        <f t="shared" si="3"/>
        <v>0</v>
      </c>
      <c r="H229" s="137" t="s">
        <v>1070</v>
      </c>
    </row>
    <row r="230" spans="1:8" ht="21" customHeight="1" x14ac:dyDescent="0.3">
      <c r="A230" s="312" t="s">
        <v>1079</v>
      </c>
      <c r="B230" s="357"/>
      <c r="C230" s="136"/>
      <c r="D230" s="136"/>
      <c r="E230" s="136"/>
      <c r="F230" s="136"/>
      <c r="G230" s="663">
        <f t="shared" si="3"/>
        <v>0</v>
      </c>
      <c r="H230" s="137" t="s">
        <v>1080</v>
      </c>
    </row>
    <row r="231" spans="1:8" ht="21" customHeight="1" x14ac:dyDescent="0.3">
      <c r="A231" s="312" t="s">
        <v>1082</v>
      </c>
      <c r="B231" s="357"/>
      <c r="C231" s="136"/>
      <c r="D231" s="136"/>
      <c r="E231" s="136"/>
      <c r="F231" s="136"/>
      <c r="G231" s="663">
        <f t="shared" si="3"/>
        <v>0</v>
      </c>
      <c r="H231" s="137" t="s">
        <v>1086</v>
      </c>
    </row>
    <row r="232" spans="1:8" ht="21" customHeight="1" x14ac:dyDescent="0.3">
      <c r="A232" s="312" t="s">
        <v>1082</v>
      </c>
      <c r="B232" s="357"/>
      <c r="C232" s="136"/>
      <c r="D232" s="136"/>
      <c r="E232" s="136"/>
      <c r="F232" s="136"/>
      <c r="G232" s="663">
        <f t="shared" si="3"/>
        <v>0</v>
      </c>
      <c r="H232" s="137" t="s">
        <v>1087</v>
      </c>
    </row>
    <row r="233" spans="1:8" ht="21" customHeight="1" x14ac:dyDescent="0.3">
      <c r="A233" s="312" t="s">
        <v>1082</v>
      </c>
      <c r="B233" s="357"/>
      <c r="C233" s="136"/>
      <c r="D233" s="136"/>
      <c r="E233" s="136"/>
      <c r="F233" s="136"/>
      <c r="G233" s="663">
        <f t="shared" si="3"/>
        <v>0</v>
      </c>
      <c r="H233" s="137" t="s">
        <v>1088</v>
      </c>
    </row>
    <row r="234" spans="1:8" ht="21" customHeight="1" x14ac:dyDescent="0.3">
      <c r="A234" s="312" t="s">
        <v>1090</v>
      </c>
      <c r="B234" s="357"/>
      <c r="C234" s="136"/>
      <c r="D234" s="136"/>
      <c r="E234" s="136"/>
      <c r="F234" s="136"/>
      <c r="G234" s="663">
        <f t="shared" si="3"/>
        <v>0</v>
      </c>
      <c r="H234" s="137" t="s">
        <v>1091</v>
      </c>
    </row>
    <row r="235" spans="1:8" ht="21" customHeight="1" x14ac:dyDescent="0.3">
      <c r="A235" s="312" t="s">
        <v>1090</v>
      </c>
      <c r="B235" s="357"/>
      <c r="C235" s="136"/>
      <c r="D235" s="136"/>
      <c r="E235" s="136"/>
      <c r="F235" s="136"/>
      <c r="G235" s="663">
        <f t="shared" si="3"/>
        <v>0</v>
      </c>
      <c r="H235" s="137" t="s">
        <v>1092</v>
      </c>
    </row>
    <row r="236" spans="1:8" ht="21" customHeight="1" x14ac:dyDescent="0.3">
      <c r="A236" s="312" t="s">
        <v>1105</v>
      </c>
      <c r="B236" s="357"/>
      <c r="C236" s="136"/>
      <c r="D236" s="136"/>
      <c r="E236" s="136"/>
      <c r="F236" s="136"/>
      <c r="G236" s="663">
        <f t="shared" si="3"/>
        <v>0</v>
      </c>
      <c r="H236" s="137" t="s">
        <v>1104</v>
      </c>
    </row>
    <row r="237" spans="1:8" ht="21" customHeight="1" x14ac:dyDescent="0.3">
      <c r="A237" s="312" t="s">
        <v>1105</v>
      </c>
      <c r="B237" s="357"/>
      <c r="C237" s="136"/>
      <c r="D237" s="136"/>
      <c r="E237" s="136"/>
      <c r="F237" s="136"/>
      <c r="G237" s="663">
        <f t="shared" si="3"/>
        <v>0</v>
      </c>
      <c r="H237" s="137" t="s">
        <v>1106</v>
      </c>
    </row>
    <row r="238" spans="1:8" ht="21" customHeight="1" x14ac:dyDescent="0.3">
      <c r="A238" s="312" t="s">
        <v>1113</v>
      </c>
      <c r="B238" s="357"/>
      <c r="C238" s="136"/>
      <c r="D238" s="136"/>
      <c r="E238" s="136"/>
      <c r="F238" s="136"/>
      <c r="G238" s="663">
        <f t="shared" si="3"/>
        <v>0</v>
      </c>
      <c r="H238" s="666" t="s">
        <v>1109</v>
      </c>
    </row>
    <row r="239" spans="1:8" ht="21" customHeight="1" x14ac:dyDescent="0.3">
      <c r="A239" s="312" t="s">
        <v>1113</v>
      </c>
      <c r="B239" s="361"/>
      <c r="C239" s="136"/>
      <c r="D239" s="136"/>
      <c r="E239" s="136"/>
      <c r="F239" s="136"/>
      <c r="G239" s="663">
        <f t="shared" si="3"/>
        <v>0</v>
      </c>
      <c r="H239" s="666" t="s">
        <v>1110</v>
      </c>
    </row>
    <row r="240" spans="1:8" ht="21" customHeight="1" x14ac:dyDescent="0.3">
      <c r="A240" s="312" t="s">
        <v>1113</v>
      </c>
      <c r="B240" s="357"/>
      <c r="C240" s="136"/>
      <c r="D240" s="136"/>
      <c r="E240" s="136"/>
      <c r="F240" s="136"/>
      <c r="G240" s="663">
        <f t="shared" si="3"/>
        <v>0</v>
      </c>
      <c r="H240" s="666" t="s">
        <v>1111</v>
      </c>
    </row>
    <row r="241" spans="1:8" ht="21" customHeight="1" x14ac:dyDescent="0.3">
      <c r="A241" s="312" t="s">
        <v>1113</v>
      </c>
      <c r="B241" s="357"/>
      <c r="C241" s="136"/>
      <c r="D241" s="136"/>
      <c r="E241" s="136"/>
      <c r="F241" s="136"/>
      <c r="G241" s="663">
        <f t="shared" si="3"/>
        <v>0</v>
      </c>
      <c r="H241" s="666" t="s">
        <v>1112</v>
      </c>
    </row>
    <row r="242" spans="1:8" ht="21" customHeight="1" x14ac:dyDescent="0.3">
      <c r="A242" s="312" t="s">
        <v>1116</v>
      </c>
      <c r="B242" s="357"/>
      <c r="C242" s="136"/>
      <c r="D242" s="136"/>
      <c r="E242" s="136"/>
      <c r="F242" s="136"/>
      <c r="G242" s="663">
        <f>SUM(C242:F242)</f>
        <v>0</v>
      </c>
      <c r="H242" s="666" t="s">
        <v>1117</v>
      </c>
    </row>
    <row r="243" spans="1:8" ht="21" customHeight="1" x14ac:dyDescent="0.3">
      <c r="A243" s="312" t="s">
        <v>1116</v>
      </c>
      <c r="B243" s="357"/>
      <c r="C243" s="136"/>
      <c r="D243" s="136"/>
      <c r="E243" s="136"/>
      <c r="F243" s="136"/>
      <c r="G243" s="663">
        <f t="shared" ref="G243:G265" si="4">SUM(C243:F243)</f>
        <v>0</v>
      </c>
      <c r="H243" s="666" t="s">
        <v>1118</v>
      </c>
    </row>
    <row r="244" spans="1:8" ht="21" customHeight="1" x14ac:dyDescent="0.3">
      <c r="A244" s="312" t="s">
        <v>1116</v>
      </c>
      <c r="B244" s="357"/>
      <c r="C244" s="136"/>
      <c r="D244" s="136"/>
      <c r="E244" s="136"/>
      <c r="F244" s="136"/>
      <c r="G244" s="663">
        <f t="shared" si="4"/>
        <v>0</v>
      </c>
      <c r="H244" s="666" t="s">
        <v>1119</v>
      </c>
    </row>
    <row r="245" spans="1:8" ht="21" customHeight="1" x14ac:dyDescent="0.3">
      <c r="A245" s="312" t="s">
        <v>1116</v>
      </c>
      <c r="B245" s="357"/>
      <c r="C245" s="136"/>
      <c r="D245" s="136"/>
      <c r="E245" s="136"/>
      <c r="F245" s="136"/>
      <c r="G245" s="663">
        <f t="shared" si="4"/>
        <v>0</v>
      </c>
      <c r="H245" s="666" t="s">
        <v>1120</v>
      </c>
    </row>
    <row r="246" spans="1:8" ht="21" customHeight="1" x14ac:dyDescent="0.3">
      <c r="A246" s="312" t="s">
        <v>1126</v>
      </c>
      <c r="B246" s="357"/>
      <c r="C246" s="136"/>
      <c r="D246" s="136"/>
      <c r="E246" s="136"/>
      <c r="F246" s="136"/>
      <c r="G246" s="663">
        <f t="shared" si="4"/>
        <v>0</v>
      </c>
      <c r="H246" s="666" t="s">
        <v>1127</v>
      </c>
    </row>
    <row r="247" spans="1:8" ht="21" customHeight="1" x14ac:dyDescent="0.3">
      <c r="A247" s="312" t="s">
        <v>1126</v>
      </c>
      <c r="B247" s="357"/>
      <c r="C247" s="136"/>
      <c r="D247" s="136"/>
      <c r="E247" s="136"/>
      <c r="F247" s="136"/>
      <c r="G247" s="663">
        <f t="shared" si="4"/>
        <v>0</v>
      </c>
      <c r="H247" s="666" t="s">
        <v>1129</v>
      </c>
    </row>
    <row r="248" spans="1:8" ht="21" customHeight="1" x14ac:dyDescent="0.3">
      <c r="A248" s="312" t="s">
        <v>1126</v>
      </c>
      <c r="B248" s="357"/>
      <c r="C248" s="136"/>
      <c r="D248" s="136"/>
      <c r="E248" s="136"/>
      <c r="F248" s="136"/>
      <c r="G248" s="663">
        <f>SUM(C248:F248)</f>
        <v>0</v>
      </c>
      <c r="H248" s="666" t="s">
        <v>1131</v>
      </c>
    </row>
    <row r="249" spans="1:8" ht="21" customHeight="1" x14ac:dyDescent="0.3">
      <c r="A249" s="312" t="s">
        <v>1126</v>
      </c>
      <c r="B249" s="357"/>
      <c r="C249" s="136"/>
      <c r="D249" s="136"/>
      <c r="E249" s="136"/>
      <c r="F249" s="136"/>
      <c r="G249" s="663">
        <f t="shared" ref="G249:G264" si="5">SUM(C249:F249)</f>
        <v>0</v>
      </c>
      <c r="H249" s="666" t="s">
        <v>1132</v>
      </c>
    </row>
    <row r="250" spans="1:8" ht="21" customHeight="1" x14ac:dyDescent="0.3">
      <c r="A250" s="312" t="s">
        <v>1126</v>
      </c>
      <c r="B250" s="357"/>
      <c r="C250" s="136"/>
      <c r="D250" s="136"/>
      <c r="E250" s="136"/>
      <c r="F250" s="136"/>
      <c r="G250" s="663">
        <f t="shared" si="5"/>
        <v>0</v>
      </c>
      <c r="H250" s="666" t="s">
        <v>1133</v>
      </c>
    </row>
    <row r="251" spans="1:8" ht="21" customHeight="1" x14ac:dyDescent="0.3">
      <c r="A251" s="312" t="s">
        <v>1126</v>
      </c>
      <c r="B251" s="357"/>
      <c r="C251" s="136"/>
      <c r="D251" s="136"/>
      <c r="E251" s="136"/>
      <c r="F251" s="136"/>
      <c r="G251" s="663">
        <f t="shared" si="5"/>
        <v>0</v>
      </c>
      <c r="H251" s="666" t="s">
        <v>1135</v>
      </c>
    </row>
    <row r="252" spans="1:8" ht="21" customHeight="1" x14ac:dyDescent="0.3">
      <c r="A252" s="312" t="s">
        <v>1126</v>
      </c>
      <c r="B252" s="357"/>
      <c r="C252" s="136"/>
      <c r="D252" s="136"/>
      <c r="E252" s="136"/>
      <c r="F252" s="136"/>
      <c r="G252" s="663">
        <f t="shared" si="5"/>
        <v>0</v>
      </c>
      <c r="H252" s="666" t="s">
        <v>1137</v>
      </c>
    </row>
    <row r="253" spans="1:8" ht="21" customHeight="1" x14ac:dyDescent="0.3">
      <c r="A253" s="312" t="s">
        <v>1126</v>
      </c>
      <c r="B253" s="357"/>
      <c r="C253" s="136"/>
      <c r="D253" s="136"/>
      <c r="E253" s="136"/>
      <c r="F253" s="136"/>
      <c r="G253" s="663">
        <f t="shared" si="5"/>
        <v>0</v>
      </c>
      <c r="H253" s="666" t="s">
        <v>1139</v>
      </c>
    </row>
    <row r="254" spans="1:8" ht="21" customHeight="1" x14ac:dyDescent="0.3">
      <c r="A254" s="312" t="s">
        <v>1126</v>
      </c>
      <c r="B254" s="357"/>
      <c r="C254" s="136"/>
      <c r="D254" s="136"/>
      <c r="E254" s="136"/>
      <c r="F254" s="136"/>
      <c r="G254" s="663">
        <f t="shared" si="5"/>
        <v>0</v>
      </c>
      <c r="H254" s="666" t="s">
        <v>1141</v>
      </c>
    </row>
    <row r="255" spans="1:8" ht="21" customHeight="1" x14ac:dyDescent="0.3">
      <c r="A255" s="312" t="s">
        <v>1126</v>
      </c>
      <c r="B255" s="357"/>
      <c r="C255" s="136"/>
      <c r="D255" s="136"/>
      <c r="E255" s="136"/>
      <c r="F255" s="136"/>
      <c r="G255" s="663">
        <f t="shared" si="5"/>
        <v>0</v>
      </c>
      <c r="H255" s="666" t="s">
        <v>1143</v>
      </c>
    </row>
    <row r="256" spans="1:8" ht="21" customHeight="1" x14ac:dyDescent="0.3">
      <c r="A256" s="312" t="s">
        <v>1126</v>
      </c>
      <c r="B256" s="357"/>
      <c r="C256" s="136"/>
      <c r="D256" s="136"/>
      <c r="E256" s="136"/>
      <c r="F256" s="136"/>
      <c r="G256" s="663">
        <f t="shared" si="5"/>
        <v>0</v>
      </c>
      <c r="H256" s="666" t="s">
        <v>1145</v>
      </c>
    </row>
    <row r="257" spans="1:8" ht="21" customHeight="1" x14ac:dyDescent="0.3">
      <c r="A257" s="312" t="s">
        <v>1126</v>
      </c>
      <c r="B257" s="357"/>
      <c r="C257" s="136"/>
      <c r="D257" s="136"/>
      <c r="E257" s="136"/>
      <c r="F257" s="136"/>
      <c r="G257" s="663">
        <f t="shared" si="5"/>
        <v>0</v>
      </c>
      <c r="H257" s="666" t="s">
        <v>1147</v>
      </c>
    </row>
    <row r="258" spans="1:8" ht="21" customHeight="1" x14ac:dyDescent="0.3">
      <c r="A258" s="312" t="s">
        <v>1126</v>
      </c>
      <c r="B258" s="357"/>
      <c r="C258" s="136"/>
      <c r="D258" s="136"/>
      <c r="E258" s="136"/>
      <c r="F258" s="136"/>
      <c r="G258" s="663">
        <f t="shared" si="5"/>
        <v>0</v>
      </c>
      <c r="H258" s="666" t="s">
        <v>1149</v>
      </c>
    </row>
    <row r="259" spans="1:8" ht="21" customHeight="1" x14ac:dyDescent="0.3">
      <c r="A259" s="312" t="s">
        <v>1153</v>
      </c>
      <c r="B259" s="357"/>
      <c r="C259" s="136"/>
      <c r="D259" s="136"/>
      <c r="E259" s="136"/>
      <c r="F259" s="136"/>
      <c r="G259" s="663">
        <f t="shared" si="5"/>
        <v>0</v>
      </c>
      <c r="H259" s="666" t="s">
        <v>1151</v>
      </c>
    </row>
    <row r="260" spans="1:8" ht="21" customHeight="1" x14ac:dyDescent="0.3">
      <c r="A260" s="312" t="s">
        <v>1153</v>
      </c>
      <c r="B260" s="357"/>
      <c r="C260" s="136"/>
      <c r="D260" s="136"/>
      <c r="E260" s="136"/>
      <c r="F260" s="136"/>
      <c r="G260" s="663">
        <f t="shared" si="5"/>
        <v>0</v>
      </c>
      <c r="H260" s="666" t="s">
        <v>1154</v>
      </c>
    </row>
    <row r="261" spans="1:8" ht="21" customHeight="1" x14ac:dyDescent="0.3">
      <c r="A261" s="312" t="s">
        <v>1153</v>
      </c>
      <c r="B261" s="357"/>
      <c r="C261" s="136"/>
      <c r="D261" s="136"/>
      <c r="E261" s="136"/>
      <c r="F261" s="136"/>
      <c r="G261" s="663">
        <f t="shared" si="5"/>
        <v>0</v>
      </c>
      <c r="H261" s="666" t="s">
        <v>1156</v>
      </c>
    </row>
    <row r="262" spans="1:8" ht="21" customHeight="1" x14ac:dyDescent="0.3">
      <c r="A262" s="312" t="s">
        <v>1153</v>
      </c>
      <c r="B262" s="357"/>
      <c r="C262" s="136"/>
      <c r="D262" s="136"/>
      <c r="E262" s="136"/>
      <c r="F262" s="136"/>
      <c r="G262" s="663">
        <f t="shared" si="5"/>
        <v>0</v>
      </c>
      <c r="H262" s="666" t="s">
        <v>1167</v>
      </c>
    </row>
    <row r="263" spans="1:8" ht="21" customHeight="1" x14ac:dyDescent="0.3">
      <c r="A263" s="312">
        <v>45548</v>
      </c>
      <c r="B263" s="357"/>
      <c r="C263" s="136"/>
      <c r="D263" s="136"/>
      <c r="E263" s="136"/>
      <c r="F263" s="136"/>
      <c r="G263" s="663">
        <f t="shared" si="5"/>
        <v>0</v>
      </c>
      <c r="H263" s="666">
        <v>3600001019</v>
      </c>
    </row>
    <row r="264" spans="1:8" ht="21" customHeight="1" x14ac:dyDescent="0.3">
      <c r="A264" s="312"/>
      <c r="B264" s="357"/>
      <c r="C264" s="136"/>
      <c r="D264" s="136"/>
      <c r="E264" s="136"/>
      <c r="F264" s="136"/>
      <c r="G264" s="663">
        <f t="shared" si="5"/>
        <v>0</v>
      </c>
      <c r="H264" s="666"/>
    </row>
    <row r="265" spans="1:8" ht="21" customHeight="1" x14ac:dyDescent="0.3">
      <c r="A265" s="312"/>
      <c r="B265" s="357"/>
      <c r="C265" s="136"/>
      <c r="D265" s="136"/>
      <c r="E265" s="136"/>
      <c r="F265" s="136"/>
      <c r="G265" s="663">
        <f t="shared" si="4"/>
        <v>0</v>
      </c>
      <c r="H265" s="666"/>
    </row>
    <row r="266" spans="1:8" ht="21" customHeight="1" x14ac:dyDescent="0.3">
      <c r="A266" s="310"/>
      <c r="B266" s="357"/>
      <c r="C266" s="136"/>
      <c r="D266" s="136"/>
      <c r="E266" s="136"/>
      <c r="F266" s="136"/>
      <c r="G266" s="276">
        <f t="shared" si="3"/>
        <v>0</v>
      </c>
    </row>
    <row r="267" spans="1:8" ht="21" customHeight="1" x14ac:dyDescent="0.3">
      <c r="A267" s="311" t="s">
        <v>257</v>
      </c>
      <c r="B267" s="363"/>
      <c r="C267" s="279">
        <f>SUM(C218:C266)</f>
        <v>0</v>
      </c>
      <c r="D267" s="279">
        <f>SUM(D218:D266)</f>
        <v>0</v>
      </c>
      <c r="E267" s="279">
        <f>SUM(E218:E266)</f>
        <v>0</v>
      </c>
      <c r="F267" s="279">
        <f>SUM(F218:F266)</f>
        <v>0</v>
      </c>
      <c r="G267" s="364">
        <f>SUM(C267:F267)</f>
        <v>0</v>
      </c>
      <c r="H267" s="195"/>
    </row>
    <row r="268" spans="1:8" ht="21" customHeight="1" x14ac:dyDescent="0.3">
      <c r="A268" s="311" t="s">
        <v>258</v>
      </c>
      <c r="B268" s="363"/>
      <c r="C268" s="279">
        <f>SUM(C216+C267)</f>
        <v>111950</v>
      </c>
      <c r="D268" s="279">
        <f>SUM(D216+D267)</f>
        <v>10015</v>
      </c>
      <c r="E268" s="279">
        <f>SUM(E216+E267)</f>
        <v>175080</v>
      </c>
      <c r="F268" s="279">
        <f>SUM(F216+F267)</f>
        <v>559200</v>
      </c>
      <c r="G268" s="364">
        <f>SUM(C268:F268)</f>
        <v>856245</v>
      </c>
      <c r="H268" s="195"/>
    </row>
    <row r="269" spans="1:8" ht="21" customHeight="1" x14ac:dyDescent="0.3">
      <c r="A269" s="311" t="s">
        <v>259</v>
      </c>
      <c r="B269" s="363"/>
      <c r="C269" s="279">
        <f>SUM(C217-C267)</f>
        <v>170450</v>
      </c>
      <c r="D269" s="279">
        <f>SUM(D217-D267)</f>
        <v>432185</v>
      </c>
      <c r="E269" s="279">
        <f>SUM(E217-E267)</f>
        <v>224820</v>
      </c>
      <c r="F269" s="279">
        <f>SUM(F217-F267)</f>
        <v>1474800</v>
      </c>
      <c r="G269" s="364">
        <f t="shared" si="3"/>
        <v>2302255</v>
      </c>
      <c r="H269" s="195"/>
    </row>
  </sheetData>
  <autoFilter ref="A2:H73" xr:uid="{00000000-0009-0000-0000-000011000000}"/>
  <conditionalFormatting sqref="B1:AA1 G34 C35:AA36 G52:G68 C91:G113 C117:G130 G218:G266 A2:AA33 A34:A46 C52:F65">
    <cfRule type="cellIs" dxfId="241" priority="1" stopIfTrue="1" operator="lessThan">
      <formula>0</formula>
    </cfRule>
  </conditionalFormatting>
  <conditionalFormatting sqref="C185:E185">
    <cfRule type="cellIs" dxfId="240" priority="2" stopIfTrue="1" operator="lessThan">
      <formula>0</formula>
    </cfRule>
  </conditionalFormatting>
  <conditionalFormatting sqref="C189:E189">
    <cfRule type="cellIs" dxfId="239" priority="3" stopIfTrue="1" operator="lessThan">
      <formula>0</formula>
    </cfRule>
  </conditionalFormatting>
  <conditionalFormatting sqref="C232:E232">
    <cfRule type="cellIs" dxfId="238" priority="4" stopIfTrue="1" operator="lessThan">
      <formula>0</formula>
    </cfRule>
  </conditionalFormatting>
  <conditionalFormatting sqref="C37:F42">
    <cfRule type="cellIs" dxfId="237" priority="5" stopIfTrue="1" operator="lessThan">
      <formula>0</formula>
    </cfRule>
  </conditionalFormatting>
  <conditionalFormatting sqref="C15:G25 G16:G28">
    <cfRule type="cellIs" dxfId="236" priority="6" stopIfTrue="1" operator="lessThan">
      <formula>0</formula>
    </cfRule>
  </conditionalFormatting>
  <conditionalFormatting sqref="C51:G51">
    <cfRule type="cellIs" dxfId="235" priority="7" stopIfTrue="1" operator="lessThan">
      <formula>0</formula>
    </cfRule>
  </conditionalFormatting>
  <conditionalFormatting sqref="C72:G87">
    <cfRule type="cellIs" dxfId="234" priority="8" stopIfTrue="1" operator="lessThan">
      <formula>0</formula>
    </cfRule>
  </conditionalFormatting>
  <conditionalFormatting sqref="C134:G154">
    <cfRule type="cellIs" dxfId="233" priority="9" stopIfTrue="1" operator="lessThan">
      <formula>0</formula>
    </cfRule>
  </conditionalFormatting>
  <conditionalFormatting sqref="C158:G172">
    <cfRule type="cellIs" dxfId="232" priority="10" stopIfTrue="1" operator="lessThan">
      <formula>0</formula>
    </cfRule>
  </conditionalFormatting>
  <conditionalFormatting sqref="C176:G196">
    <cfRule type="cellIs" dxfId="231" priority="11" stopIfTrue="1" operator="lessThan">
      <formula>0</formula>
    </cfRule>
  </conditionalFormatting>
  <conditionalFormatting sqref="D10">
    <cfRule type="cellIs" dxfId="230" priority="12" stopIfTrue="1" operator="lessThan">
      <formula>0</formula>
    </cfRule>
  </conditionalFormatting>
  <conditionalFormatting sqref="G37:G41">
    <cfRule type="cellIs" dxfId="229" priority="13" stopIfTrue="1" operator="lessThan">
      <formula>0</formula>
    </cfRule>
  </conditionalFormatting>
  <conditionalFormatting sqref="G200:G214">
    <cfRule type="cellIs" dxfId="228" priority="14" stopIfTrue="1" operator="lessThan">
      <formula>0</formula>
    </cfRule>
  </conditionalFormatting>
  <pageMargins left="0.7" right="0.7" top="0.75" bottom="0.75" header="0" footer="0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I581"/>
  <sheetViews>
    <sheetView zoomScaleNormal="100" workbookViewId="0">
      <pane xSplit="1" ySplit="4" topLeftCell="Q117" activePane="bottomRight" state="frozen"/>
      <selection activeCell="E13" sqref="E13"/>
      <selection pane="topRight" activeCell="E13" sqref="E13"/>
      <selection pane="bottomLeft" activeCell="E13" sqref="E13"/>
      <selection pane="bottomRight" activeCell="AD130" sqref="AD130"/>
    </sheetView>
  </sheetViews>
  <sheetFormatPr defaultColWidth="14.42578125" defaultRowHeight="15" customHeight="1" x14ac:dyDescent="0.3"/>
  <cols>
    <col min="1" max="1" width="17.5703125" style="137" customWidth="1"/>
    <col min="2" max="2" width="21" style="137" customWidth="1"/>
    <col min="3" max="3" width="21.85546875" style="137" customWidth="1"/>
    <col min="4" max="4" width="19.42578125" style="137" customWidth="1"/>
    <col min="5" max="8" width="21.85546875" style="137" customWidth="1"/>
    <col min="9" max="9" width="22.42578125" style="137" customWidth="1"/>
    <col min="10" max="11" width="20.7109375" style="137" customWidth="1"/>
    <col min="12" max="12" width="20" style="137" customWidth="1"/>
    <col min="13" max="13" width="24" style="137" customWidth="1"/>
    <col min="14" max="14" width="15" style="137" customWidth="1"/>
    <col min="15" max="15" width="13.140625" style="137" customWidth="1"/>
    <col min="16" max="16" width="15.85546875" style="137" customWidth="1"/>
    <col min="17" max="17" width="14.85546875" style="137" customWidth="1"/>
    <col min="18" max="18" width="19.7109375" style="137" customWidth="1"/>
    <col min="19" max="19" width="14.140625" style="137" customWidth="1"/>
    <col min="20" max="20" width="16.7109375" style="137" customWidth="1"/>
    <col min="21" max="21" width="15.42578125" style="137" customWidth="1"/>
    <col min="22" max="22" width="15" style="137" customWidth="1"/>
    <col min="23" max="23" width="14.140625" style="137" customWidth="1"/>
    <col min="24" max="24" width="13.7109375" style="137" customWidth="1"/>
    <col min="25" max="25" width="14.85546875" style="137" customWidth="1"/>
    <col min="26" max="27" width="14.85546875" style="961" customWidth="1"/>
    <col min="28" max="30" width="17.42578125" style="137" customWidth="1"/>
    <col min="31" max="31" width="16.85546875" style="137" customWidth="1"/>
    <col min="32" max="32" width="11.5703125" style="137" customWidth="1"/>
    <col min="33" max="33" width="12.7109375" style="137" customWidth="1"/>
    <col min="34" max="36" width="9.140625" style="137" customWidth="1"/>
    <col min="37" max="16384" width="14.42578125" style="137"/>
  </cols>
  <sheetData>
    <row r="1" spans="1:33" ht="18.75" customHeight="1" x14ac:dyDescent="0.3">
      <c r="A1" s="286" t="s">
        <v>131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95"/>
      <c r="AF1" s="272"/>
      <c r="AG1" s="136"/>
    </row>
    <row r="2" spans="1:33" ht="57.75" customHeight="1" x14ac:dyDescent="0.3">
      <c r="A2" s="282"/>
      <c r="B2" s="274" t="s">
        <v>281</v>
      </c>
      <c r="C2" s="274" t="s">
        <v>282</v>
      </c>
      <c r="D2" s="334" t="s">
        <v>283</v>
      </c>
      <c r="E2" s="334" t="s">
        <v>284</v>
      </c>
      <c r="F2" s="334" t="s">
        <v>285</v>
      </c>
      <c r="G2" s="334" t="s">
        <v>286</v>
      </c>
      <c r="H2" s="334" t="s">
        <v>287</v>
      </c>
      <c r="I2" s="335" t="s">
        <v>288</v>
      </c>
      <c r="J2" s="336" t="s">
        <v>289</v>
      </c>
      <c r="K2" s="337" t="s">
        <v>463</v>
      </c>
      <c r="L2" s="338" t="s">
        <v>291</v>
      </c>
      <c r="M2" s="274" t="s">
        <v>292</v>
      </c>
      <c r="N2" s="274" t="s">
        <v>464</v>
      </c>
      <c r="O2" s="274" t="s">
        <v>294</v>
      </c>
      <c r="P2" s="274" t="s">
        <v>295</v>
      </c>
      <c r="Q2" s="274" t="s">
        <v>296</v>
      </c>
      <c r="R2" s="274" t="s">
        <v>297</v>
      </c>
      <c r="S2" s="274" t="s">
        <v>298</v>
      </c>
      <c r="T2" s="274" t="s">
        <v>299</v>
      </c>
      <c r="U2" s="274" t="s">
        <v>300</v>
      </c>
      <c r="V2" s="274" t="s">
        <v>301</v>
      </c>
      <c r="W2" s="274" t="s">
        <v>302</v>
      </c>
      <c r="X2" s="274" t="s">
        <v>465</v>
      </c>
      <c r="Y2" s="274" t="s">
        <v>303</v>
      </c>
      <c r="Z2" s="338" t="s">
        <v>1235</v>
      </c>
      <c r="AA2" s="338" t="s">
        <v>1236</v>
      </c>
      <c r="AB2" s="274" t="s">
        <v>1245</v>
      </c>
      <c r="AC2" s="274" t="s">
        <v>304</v>
      </c>
      <c r="AD2" s="274" t="s">
        <v>305</v>
      </c>
      <c r="AE2" s="274" t="s">
        <v>208</v>
      </c>
      <c r="AF2" s="308"/>
      <c r="AG2" s="274"/>
    </row>
    <row r="3" spans="1:33" ht="18.75" customHeight="1" x14ac:dyDescent="0.3">
      <c r="A3" s="283" t="s">
        <v>209</v>
      </c>
      <c r="B3" s="145">
        <v>0</v>
      </c>
      <c r="C3" s="145">
        <v>0</v>
      </c>
      <c r="D3" s="145">
        <v>0</v>
      </c>
      <c r="E3" s="145"/>
      <c r="F3" s="145"/>
      <c r="G3" s="145"/>
      <c r="H3" s="145"/>
      <c r="I3" s="145">
        <v>0</v>
      </c>
      <c r="J3" s="145">
        <v>0</v>
      </c>
      <c r="K3" s="145"/>
      <c r="L3" s="145">
        <v>0</v>
      </c>
      <c r="M3" s="145">
        <v>0</v>
      </c>
      <c r="N3" s="145">
        <v>0</v>
      </c>
      <c r="O3" s="145">
        <v>0</v>
      </c>
      <c r="P3" s="145">
        <v>0</v>
      </c>
      <c r="Q3" s="145">
        <v>0</v>
      </c>
      <c r="R3" s="145">
        <v>0</v>
      </c>
      <c r="S3" s="145">
        <v>0</v>
      </c>
      <c r="T3" s="145">
        <v>0</v>
      </c>
      <c r="U3" s="145">
        <v>0</v>
      </c>
      <c r="V3" s="145">
        <v>0</v>
      </c>
      <c r="W3" s="145">
        <v>0</v>
      </c>
      <c r="X3" s="145">
        <v>0</v>
      </c>
      <c r="Y3" s="145">
        <v>0</v>
      </c>
      <c r="Z3" s="145">
        <v>0</v>
      </c>
      <c r="AA3" s="145">
        <v>0</v>
      </c>
      <c r="AB3" s="145">
        <v>0</v>
      </c>
      <c r="AC3" s="145">
        <v>0</v>
      </c>
      <c r="AD3" s="145">
        <v>0</v>
      </c>
      <c r="AE3" s="145">
        <f>SUM(B3:AD3)</f>
        <v>0</v>
      </c>
      <c r="AF3" s="308"/>
      <c r="AG3" s="195"/>
    </row>
    <row r="4" spans="1:33" ht="18.75" customHeight="1" x14ac:dyDescent="0.3">
      <c r="A4" s="283" t="s">
        <v>210</v>
      </c>
      <c r="B4" s="145">
        <f>+'ใบกัน 400'!E4</f>
        <v>566800</v>
      </c>
      <c r="C4" s="145">
        <f>+'ใบกัน 400'!F4</f>
        <v>150000</v>
      </c>
      <c r="D4" s="145">
        <f>+'ใบกัน 400'!G4</f>
        <v>328000</v>
      </c>
      <c r="E4" s="145"/>
      <c r="F4" s="145"/>
      <c r="G4" s="145"/>
      <c r="H4" s="145"/>
      <c r="I4" s="145">
        <f>+'ใบกัน 400'!L4</f>
        <v>247900</v>
      </c>
      <c r="J4" s="145">
        <f>+'ใบกัน 400'!M4</f>
        <v>0</v>
      </c>
      <c r="K4" s="145">
        <f>'ใบกัน 400'!N4</f>
        <v>0</v>
      </c>
      <c r="L4" s="145">
        <f>+'ใบกัน 400'!O4</f>
        <v>250000</v>
      </c>
      <c r="M4" s="145">
        <f>+'ใบกัน 400'!P4</f>
        <v>140000</v>
      </c>
      <c r="N4" s="145">
        <f>+'ใบกัน 400'!Q4</f>
        <v>0</v>
      </c>
      <c r="O4" s="145">
        <f>+'ใบกัน 400'!R4</f>
        <v>0</v>
      </c>
      <c r="P4" s="145">
        <f>+'ใบกัน 400'!S4</f>
        <v>0</v>
      </c>
      <c r="Q4" s="145">
        <f>+'ใบกัน 400'!T4</f>
        <v>214000</v>
      </c>
      <c r="R4" s="145">
        <f>+'ใบกัน 400'!U4</f>
        <v>388945</v>
      </c>
      <c r="S4" s="145">
        <f>+'ใบกัน 400'!V4</f>
        <v>74900</v>
      </c>
      <c r="T4" s="145">
        <f>+'ใบกัน 400'!W4</f>
        <v>1193659</v>
      </c>
      <c r="U4" s="145">
        <f>+'ใบกัน 400'!X4</f>
        <v>1504800</v>
      </c>
      <c r="V4" s="145">
        <f>+'ใบกัน 400'!Y4</f>
        <v>189600</v>
      </c>
      <c r="W4" s="145">
        <f>+'ใบกัน 400'!Z4</f>
        <v>99296</v>
      </c>
      <c r="X4" s="145">
        <f>'ใบกัน 400'!AA4</f>
        <v>160000</v>
      </c>
      <c r="Y4" s="145">
        <f>+'ใบกัน 400'!AE4</f>
        <v>8500000</v>
      </c>
      <c r="Z4" s="145">
        <f>+'ใบกัน 400'!AF4</f>
        <v>716400</v>
      </c>
      <c r="AA4" s="145">
        <f>+'ใบกัน 400'!AG4</f>
        <v>1113800</v>
      </c>
      <c r="AB4" s="145">
        <f>'ใบกัน 400'!AB4</f>
        <v>174800</v>
      </c>
      <c r="AC4" s="145">
        <f>+'ใบกัน 400'!AC4</f>
        <v>198000</v>
      </c>
      <c r="AD4" s="145">
        <f>+'ใบกัน 400'!AD4</f>
        <v>0</v>
      </c>
      <c r="AE4" s="145">
        <f>+'ใบกัน 400'!AH4</f>
        <v>16210900</v>
      </c>
      <c r="AF4" s="308"/>
      <c r="AG4" s="195"/>
    </row>
    <row r="5" spans="1:33" ht="18.75" customHeight="1" x14ac:dyDescent="0.3">
      <c r="A5" s="283" t="s">
        <v>211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6"/>
      <c r="AA5" s="296"/>
      <c r="AB5" s="296"/>
      <c r="AC5" s="296"/>
      <c r="AD5" s="296"/>
      <c r="AE5" s="145"/>
      <c r="AF5" s="272"/>
      <c r="AG5" s="136"/>
    </row>
    <row r="6" spans="1:33" ht="18.75" customHeight="1" x14ac:dyDescent="0.3">
      <c r="A6" s="284" t="s">
        <v>212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45"/>
      <c r="AF6" s="272"/>
      <c r="AG6" s="136"/>
    </row>
    <row r="7" spans="1:33" ht="18.75" customHeight="1" x14ac:dyDescent="0.3">
      <c r="A7" s="993">
        <v>45548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>
        <v>2490</v>
      </c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45">
        <f t="shared" ref="AE7:AE18" si="0">SUM(B7:AD7)</f>
        <v>2490</v>
      </c>
      <c r="AF7" s="272" t="s">
        <v>1438</v>
      </c>
      <c r="AG7" s="136"/>
    </row>
    <row r="8" spans="1:33" ht="18.75" customHeight="1" x14ac:dyDescent="0.3">
      <c r="A8" s="993">
        <v>45551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>
        <v>2780</v>
      </c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45">
        <f t="shared" si="0"/>
        <v>2780</v>
      </c>
      <c r="AF8" s="272" t="s">
        <v>1439</v>
      </c>
      <c r="AG8" s="285"/>
    </row>
    <row r="9" spans="1:33" ht="18.75" customHeight="1" x14ac:dyDescent="0.3">
      <c r="A9" s="993">
        <v>45566</v>
      </c>
      <c r="B9" s="136"/>
      <c r="C9" s="136"/>
      <c r="D9" s="136"/>
      <c r="E9" s="136"/>
      <c r="F9" s="136"/>
      <c r="G9" s="136"/>
      <c r="H9" s="136"/>
      <c r="I9" s="136">
        <v>280</v>
      </c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45">
        <f t="shared" si="0"/>
        <v>280</v>
      </c>
      <c r="AF9" s="272" t="s">
        <v>1440</v>
      </c>
      <c r="AG9" s="136"/>
    </row>
    <row r="10" spans="1:33" ht="18.75" customHeight="1" x14ac:dyDescent="0.3">
      <c r="A10" s="993">
        <v>45567</v>
      </c>
      <c r="B10" s="136"/>
      <c r="C10" s="136"/>
      <c r="D10" s="136"/>
      <c r="E10" s="136"/>
      <c r="F10" s="136"/>
      <c r="G10" s="136"/>
      <c r="H10" s="136"/>
      <c r="I10" s="136">
        <v>280</v>
      </c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95"/>
      <c r="V10" s="136"/>
      <c r="W10" s="136"/>
      <c r="X10" s="136"/>
      <c r="Y10" s="136"/>
      <c r="Z10" s="136"/>
      <c r="AA10" s="136"/>
      <c r="AB10" s="136"/>
      <c r="AC10" s="136"/>
      <c r="AD10" s="136"/>
      <c r="AE10" s="145">
        <f t="shared" si="0"/>
        <v>280</v>
      </c>
      <c r="AF10" s="272" t="s">
        <v>1441</v>
      </c>
      <c r="AG10" s="136"/>
    </row>
    <row r="11" spans="1:33" ht="18.75" customHeight="1" x14ac:dyDescent="0.3">
      <c r="A11" s="993">
        <v>45573</v>
      </c>
      <c r="B11" s="136"/>
      <c r="C11" s="136"/>
      <c r="D11" s="136"/>
      <c r="E11" s="136"/>
      <c r="F11" s="136"/>
      <c r="G11" s="136"/>
      <c r="H11" s="136"/>
      <c r="I11" s="136"/>
      <c r="J11" s="136">
        <f>209200-5723.55</f>
        <v>203476.45</v>
      </c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45">
        <f>SUM(B11:AD11)</f>
        <v>203476.45</v>
      </c>
      <c r="AF11" s="985" t="s">
        <v>1442</v>
      </c>
      <c r="AG11" s="136"/>
    </row>
    <row r="12" spans="1:33" s="963" customFormat="1" ht="18.75" customHeight="1" x14ac:dyDescent="0.3">
      <c r="A12" s="993">
        <v>45573</v>
      </c>
      <c r="B12" s="136"/>
      <c r="C12" s="136"/>
      <c r="D12" s="136"/>
      <c r="E12" s="136"/>
      <c r="F12" s="136"/>
      <c r="G12" s="136"/>
      <c r="H12" s="136"/>
      <c r="I12" s="136">
        <v>700</v>
      </c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45">
        <f t="shared" si="0"/>
        <v>700</v>
      </c>
      <c r="AF12" s="272" t="s">
        <v>1443</v>
      </c>
      <c r="AG12" s="136"/>
    </row>
    <row r="13" spans="1:33" s="983" customFormat="1" ht="18.75" customHeight="1" x14ac:dyDescent="0.3">
      <c r="A13" s="993">
        <v>45582</v>
      </c>
      <c r="B13" s="136"/>
      <c r="C13" s="136"/>
      <c r="D13" s="136"/>
      <c r="E13" s="136"/>
      <c r="F13" s="136"/>
      <c r="G13" s="136"/>
      <c r="H13" s="136"/>
      <c r="I13" s="136"/>
      <c r="J13" s="136">
        <v>4000</v>
      </c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45">
        <f t="shared" ref="AE13:AE14" si="1">SUM(B13:AD13)</f>
        <v>4000</v>
      </c>
      <c r="AF13" s="272" t="s">
        <v>1459</v>
      </c>
      <c r="AG13" s="136"/>
    </row>
    <row r="14" spans="1:33" s="983" customFormat="1" ht="18.75" customHeight="1" x14ac:dyDescent="0.3">
      <c r="A14" s="993">
        <v>45594</v>
      </c>
      <c r="B14" s="136"/>
      <c r="C14" s="136"/>
      <c r="D14" s="136"/>
      <c r="E14" s="136"/>
      <c r="F14" s="136"/>
      <c r="G14" s="136"/>
      <c r="H14" s="136"/>
      <c r="I14" s="136"/>
      <c r="J14" s="136">
        <v>5382.1</v>
      </c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45">
        <f t="shared" si="1"/>
        <v>5382.1</v>
      </c>
      <c r="AF14" s="272" t="s">
        <v>1464</v>
      </c>
      <c r="AG14" s="136"/>
    </row>
    <row r="15" spans="1:33" ht="18.75" customHeight="1" x14ac:dyDescent="0.3">
      <c r="A15" s="281"/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45">
        <f t="shared" si="0"/>
        <v>0</v>
      </c>
      <c r="AF15" s="272"/>
      <c r="AG15" s="136"/>
    </row>
    <row r="16" spans="1:33" ht="18.75" customHeight="1" x14ac:dyDescent="0.3">
      <c r="A16" s="281"/>
      <c r="B16" s="136"/>
      <c r="C16" s="136"/>
      <c r="D16" s="136"/>
      <c r="E16" s="136"/>
      <c r="F16" s="136"/>
      <c r="G16" s="136"/>
      <c r="H16" s="136"/>
      <c r="I16" s="136"/>
      <c r="J16" s="195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45">
        <f t="shared" si="0"/>
        <v>0</v>
      </c>
      <c r="AF16" s="293" t="s">
        <v>309</v>
      </c>
      <c r="AG16" s="136"/>
    </row>
    <row r="17" spans="1:33" ht="18.75" customHeight="1" x14ac:dyDescent="0.3">
      <c r="A17" s="287" t="s">
        <v>213</v>
      </c>
      <c r="B17" s="279">
        <f t="shared" ref="B17:AD17" si="2">SUM(B6:B16)</f>
        <v>0</v>
      </c>
      <c r="C17" s="279">
        <f t="shared" si="2"/>
        <v>0</v>
      </c>
      <c r="D17" s="279">
        <f t="shared" si="2"/>
        <v>0</v>
      </c>
      <c r="E17" s="279">
        <f t="shared" si="2"/>
        <v>0</v>
      </c>
      <c r="F17" s="279">
        <f t="shared" si="2"/>
        <v>0</v>
      </c>
      <c r="G17" s="279">
        <f t="shared" si="2"/>
        <v>0</v>
      </c>
      <c r="H17" s="279">
        <f t="shared" si="2"/>
        <v>0</v>
      </c>
      <c r="I17" s="279">
        <f t="shared" si="2"/>
        <v>1260</v>
      </c>
      <c r="J17" s="279">
        <f t="shared" si="2"/>
        <v>212858.55000000002</v>
      </c>
      <c r="K17" s="279">
        <f t="shared" si="2"/>
        <v>0</v>
      </c>
      <c r="L17" s="279">
        <f t="shared" si="2"/>
        <v>0</v>
      </c>
      <c r="M17" s="279">
        <f t="shared" si="2"/>
        <v>5270</v>
      </c>
      <c r="N17" s="279">
        <f t="shared" si="2"/>
        <v>0</v>
      </c>
      <c r="O17" s="279">
        <f t="shared" si="2"/>
        <v>0</v>
      </c>
      <c r="P17" s="279">
        <f t="shared" si="2"/>
        <v>0</v>
      </c>
      <c r="Q17" s="279">
        <f t="shared" si="2"/>
        <v>0</v>
      </c>
      <c r="R17" s="279">
        <f t="shared" si="2"/>
        <v>0</v>
      </c>
      <c r="S17" s="279">
        <f t="shared" si="2"/>
        <v>0</v>
      </c>
      <c r="T17" s="279">
        <f t="shared" si="2"/>
        <v>0</v>
      </c>
      <c r="U17" s="279">
        <f t="shared" si="2"/>
        <v>0</v>
      </c>
      <c r="V17" s="279">
        <f t="shared" si="2"/>
        <v>0</v>
      </c>
      <c r="W17" s="279">
        <f t="shared" si="2"/>
        <v>0</v>
      </c>
      <c r="X17" s="279">
        <f t="shared" si="2"/>
        <v>0</v>
      </c>
      <c r="Y17" s="279">
        <f t="shared" si="2"/>
        <v>0</v>
      </c>
      <c r="Z17" s="279">
        <f t="shared" si="2"/>
        <v>0</v>
      </c>
      <c r="AA17" s="279">
        <f t="shared" si="2"/>
        <v>0</v>
      </c>
      <c r="AB17" s="279">
        <f t="shared" si="2"/>
        <v>0</v>
      </c>
      <c r="AC17" s="279">
        <f t="shared" si="2"/>
        <v>0</v>
      </c>
      <c r="AD17" s="279">
        <f t="shared" si="2"/>
        <v>0</v>
      </c>
      <c r="AE17" s="280">
        <f>SUM(B17:AD17)</f>
        <v>219388.55000000002</v>
      </c>
      <c r="AF17" s="339"/>
      <c r="AG17" s="340"/>
    </row>
    <row r="18" spans="1:33" ht="18.75" customHeight="1" x14ac:dyDescent="0.3">
      <c r="A18" s="287" t="s">
        <v>341</v>
      </c>
      <c r="B18" s="279">
        <f t="shared" ref="B18:AD18" si="3">SUM(B3+B17)</f>
        <v>0</v>
      </c>
      <c r="C18" s="279">
        <f t="shared" si="3"/>
        <v>0</v>
      </c>
      <c r="D18" s="279">
        <f t="shared" si="3"/>
        <v>0</v>
      </c>
      <c r="E18" s="279">
        <f t="shared" si="3"/>
        <v>0</v>
      </c>
      <c r="F18" s="279">
        <f t="shared" si="3"/>
        <v>0</v>
      </c>
      <c r="G18" s="279">
        <f t="shared" si="3"/>
        <v>0</v>
      </c>
      <c r="H18" s="279">
        <f t="shared" si="3"/>
        <v>0</v>
      </c>
      <c r="I18" s="279">
        <f t="shared" si="3"/>
        <v>1260</v>
      </c>
      <c r="J18" s="279">
        <f t="shared" si="3"/>
        <v>212858.55000000002</v>
      </c>
      <c r="K18" s="279">
        <f t="shared" si="3"/>
        <v>0</v>
      </c>
      <c r="L18" s="279">
        <f t="shared" si="3"/>
        <v>0</v>
      </c>
      <c r="M18" s="279">
        <f t="shared" si="3"/>
        <v>5270</v>
      </c>
      <c r="N18" s="279">
        <f t="shared" si="3"/>
        <v>0</v>
      </c>
      <c r="O18" s="279">
        <f t="shared" si="3"/>
        <v>0</v>
      </c>
      <c r="P18" s="279">
        <f t="shared" si="3"/>
        <v>0</v>
      </c>
      <c r="Q18" s="279">
        <f t="shared" si="3"/>
        <v>0</v>
      </c>
      <c r="R18" s="279">
        <f t="shared" si="3"/>
        <v>0</v>
      </c>
      <c r="S18" s="279">
        <f t="shared" si="3"/>
        <v>0</v>
      </c>
      <c r="T18" s="279">
        <f t="shared" si="3"/>
        <v>0</v>
      </c>
      <c r="U18" s="279">
        <f t="shared" si="3"/>
        <v>0</v>
      </c>
      <c r="V18" s="279">
        <f t="shared" si="3"/>
        <v>0</v>
      </c>
      <c r="W18" s="279">
        <f t="shared" si="3"/>
        <v>0</v>
      </c>
      <c r="X18" s="279">
        <f t="shared" si="3"/>
        <v>0</v>
      </c>
      <c r="Y18" s="279">
        <f t="shared" si="3"/>
        <v>0</v>
      </c>
      <c r="Z18" s="279">
        <f t="shared" si="3"/>
        <v>0</v>
      </c>
      <c r="AA18" s="279">
        <f t="shared" si="3"/>
        <v>0</v>
      </c>
      <c r="AB18" s="279">
        <f t="shared" si="3"/>
        <v>0</v>
      </c>
      <c r="AC18" s="279">
        <f t="shared" si="3"/>
        <v>0</v>
      </c>
      <c r="AD18" s="279">
        <f t="shared" si="3"/>
        <v>0</v>
      </c>
      <c r="AE18" s="280">
        <f t="shared" si="0"/>
        <v>219388.55000000002</v>
      </c>
      <c r="AF18" s="308"/>
      <c r="AG18" s="195"/>
    </row>
    <row r="19" spans="1:33" ht="18.75" customHeight="1" x14ac:dyDescent="0.3">
      <c r="A19" s="287" t="s">
        <v>210</v>
      </c>
      <c r="B19" s="279">
        <f t="shared" ref="B19:AD19" si="4">SUM(B4-B17)</f>
        <v>566800</v>
      </c>
      <c r="C19" s="279">
        <f t="shared" si="4"/>
        <v>150000</v>
      </c>
      <c r="D19" s="279">
        <f t="shared" si="4"/>
        <v>328000</v>
      </c>
      <c r="E19" s="279">
        <f t="shared" si="4"/>
        <v>0</v>
      </c>
      <c r="F19" s="279">
        <f t="shared" si="4"/>
        <v>0</v>
      </c>
      <c r="G19" s="279">
        <f t="shared" si="4"/>
        <v>0</v>
      </c>
      <c r="H19" s="279">
        <f t="shared" si="4"/>
        <v>0</v>
      </c>
      <c r="I19" s="279">
        <f t="shared" si="4"/>
        <v>246640</v>
      </c>
      <c r="J19" s="279">
        <f t="shared" si="4"/>
        <v>-212858.55000000002</v>
      </c>
      <c r="K19" s="279">
        <f t="shared" si="4"/>
        <v>0</v>
      </c>
      <c r="L19" s="279">
        <f t="shared" si="4"/>
        <v>250000</v>
      </c>
      <c r="M19" s="279">
        <f t="shared" si="4"/>
        <v>134730</v>
      </c>
      <c r="N19" s="279">
        <f t="shared" si="4"/>
        <v>0</v>
      </c>
      <c r="O19" s="279">
        <f t="shared" si="4"/>
        <v>0</v>
      </c>
      <c r="P19" s="279">
        <f t="shared" si="4"/>
        <v>0</v>
      </c>
      <c r="Q19" s="279">
        <f t="shared" si="4"/>
        <v>214000</v>
      </c>
      <c r="R19" s="279">
        <f t="shared" si="4"/>
        <v>388945</v>
      </c>
      <c r="S19" s="279">
        <f t="shared" si="4"/>
        <v>74900</v>
      </c>
      <c r="T19" s="279">
        <f t="shared" si="4"/>
        <v>1193659</v>
      </c>
      <c r="U19" s="279">
        <f t="shared" si="4"/>
        <v>1504800</v>
      </c>
      <c r="V19" s="279">
        <f t="shared" si="4"/>
        <v>189600</v>
      </c>
      <c r="W19" s="279">
        <f t="shared" si="4"/>
        <v>99296</v>
      </c>
      <c r="X19" s="279">
        <f t="shared" si="4"/>
        <v>160000</v>
      </c>
      <c r="Y19" s="279">
        <f t="shared" si="4"/>
        <v>8500000</v>
      </c>
      <c r="Z19" s="279">
        <f t="shared" si="4"/>
        <v>716400</v>
      </c>
      <c r="AA19" s="279">
        <f t="shared" si="4"/>
        <v>1113800</v>
      </c>
      <c r="AB19" s="279">
        <f t="shared" si="4"/>
        <v>174800</v>
      </c>
      <c r="AC19" s="279">
        <f t="shared" si="4"/>
        <v>198000</v>
      </c>
      <c r="AD19" s="279">
        <f t="shared" si="4"/>
        <v>0</v>
      </c>
      <c r="AE19" s="280">
        <f>SUM(B19:AD19)</f>
        <v>15991511.449999999</v>
      </c>
      <c r="AF19" s="308"/>
      <c r="AG19" s="195"/>
    </row>
    <row r="20" spans="1:33" ht="18.75" customHeight="1" x14ac:dyDescent="0.3">
      <c r="A20" s="995" t="s">
        <v>216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45"/>
      <c r="AF20" s="272"/>
      <c r="AG20" s="136"/>
    </row>
    <row r="21" spans="1:33" ht="18.75" customHeight="1" x14ac:dyDescent="0.3">
      <c r="A21" s="996">
        <v>45600</v>
      </c>
      <c r="B21" s="136"/>
      <c r="C21" s="136"/>
      <c r="D21" s="136"/>
      <c r="E21" s="136"/>
      <c r="F21" s="136"/>
      <c r="G21" s="136"/>
      <c r="H21" s="136"/>
      <c r="I21" s="136">
        <v>2100</v>
      </c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45">
        <f t="shared" ref="AE21:AE53" si="5">SUM(B21:AD21)</f>
        <v>2100</v>
      </c>
      <c r="AF21" s="272" t="s">
        <v>1475</v>
      </c>
      <c r="AG21" s="136"/>
    </row>
    <row r="22" spans="1:33" ht="18.75" customHeight="1" x14ac:dyDescent="0.3">
      <c r="A22" s="996">
        <v>45601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>
        <v>4550</v>
      </c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45">
        <f t="shared" si="5"/>
        <v>4550</v>
      </c>
      <c r="AF22" s="272" t="s">
        <v>1476</v>
      </c>
      <c r="AG22" s="136"/>
    </row>
    <row r="23" spans="1:33" ht="18.75" customHeight="1" x14ac:dyDescent="0.3">
      <c r="A23" s="996">
        <v>45603</v>
      </c>
      <c r="B23" s="136"/>
      <c r="C23" s="136">
        <v>3335</v>
      </c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45">
        <f t="shared" si="5"/>
        <v>3335</v>
      </c>
      <c r="AF23" s="272" t="s">
        <v>1477</v>
      </c>
      <c r="AG23" s="136"/>
    </row>
    <row r="24" spans="1:33" s="994" customFormat="1" ht="18.75" customHeight="1" x14ac:dyDescent="0.3">
      <c r="A24" s="996">
        <v>45607</v>
      </c>
      <c r="B24" s="136"/>
      <c r="C24" s="136"/>
      <c r="D24" s="136"/>
      <c r="E24" s="136"/>
      <c r="F24" s="136"/>
      <c r="G24" s="136"/>
      <c r="H24" s="136"/>
      <c r="I24" s="136"/>
      <c r="J24" s="136">
        <v>44000</v>
      </c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45">
        <f t="shared" ref="AE24" si="6">SUM(B24:AD24)</f>
        <v>44000</v>
      </c>
      <c r="AF24" s="272" t="s">
        <v>1481</v>
      </c>
      <c r="AG24" s="136"/>
    </row>
    <row r="25" spans="1:33" ht="18.75" customHeight="1" x14ac:dyDescent="0.3">
      <c r="A25" s="996">
        <v>45608</v>
      </c>
      <c r="B25" s="136">
        <v>4500</v>
      </c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45">
        <f t="shared" si="5"/>
        <v>4500</v>
      </c>
      <c r="AF25" s="272" t="s">
        <v>1483</v>
      </c>
      <c r="AG25" s="136"/>
    </row>
    <row r="26" spans="1:33" ht="18.75" customHeight="1" x14ac:dyDescent="0.3">
      <c r="A26" s="996">
        <v>45608</v>
      </c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>
        <v>2000</v>
      </c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45">
        <f t="shared" si="5"/>
        <v>2000</v>
      </c>
      <c r="AF26" s="272"/>
      <c r="AG26" s="136"/>
    </row>
    <row r="27" spans="1:33" ht="18.75" customHeight="1" x14ac:dyDescent="0.3">
      <c r="A27" s="996">
        <v>45609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>
        <v>1150</v>
      </c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45">
        <f t="shared" si="5"/>
        <v>1150</v>
      </c>
      <c r="AF27" s="272"/>
      <c r="AG27" s="138"/>
    </row>
    <row r="28" spans="1:33" ht="18.75" customHeight="1" x14ac:dyDescent="0.3">
      <c r="A28" s="996">
        <v>45611</v>
      </c>
      <c r="B28" s="136">
        <v>5500</v>
      </c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45">
        <f t="shared" si="5"/>
        <v>5500</v>
      </c>
      <c r="AF28" s="272"/>
      <c r="AG28" s="136"/>
    </row>
    <row r="29" spans="1:33" ht="18.75" customHeight="1" x14ac:dyDescent="0.3">
      <c r="A29" s="996">
        <v>45611</v>
      </c>
      <c r="B29" s="136"/>
      <c r="C29" s="136">
        <v>11074.5</v>
      </c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45">
        <f t="shared" si="5"/>
        <v>11074.5</v>
      </c>
      <c r="AF29" s="272"/>
      <c r="AG29" s="136"/>
    </row>
    <row r="30" spans="1:33" ht="18.75" customHeight="1" x14ac:dyDescent="0.3">
      <c r="A30" s="996">
        <v>45611</v>
      </c>
      <c r="B30" s="136">
        <v>1926</v>
      </c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45">
        <f t="shared" si="5"/>
        <v>1926</v>
      </c>
      <c r="AF30" s="272"/>
      <c r="AG30" s="136"/>
    </row>
    <row r="31" spans="1:33" ht="18.75" customHeight="1" x14ac:dyDescent="0.3">
      <c r="A31" s="996">
        <v>45611</v>
      </c>
      <c r="B31" s="136"/>
      <c r="C31" s="136"/>
      <c r="D31" s="136"/>
      <c r="E31" s="136"/>
      <c r="F31" s="136"/>
      <c r="G31" s="136"/>
      <c r="H31" s="136"/>
      <c r="I31" s="136">
        <v>1050</v>
      </c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45">
        <f t="shared" si="5"/>
        <v>1050</v>
      </c>
      <c r="AF31" s="272"/>
      <c r="AG31" s="136"/>
    </row>
    <row r="32" spans="1:33" ht="18.75" customHeight="1" x14ac:dyDescent="0.3">
      <c r="A32" s="996">
        <v>45611</v>
      </c>
      <c r="B32" s="136"/>
      <c r="C32" s="136"/>
      <c r="D32" s="136"/>
      <c r="E32" s="136"/>
      <c r="F32" s="136"/>
      <c r="G32" s="136"/>
      <c r="H32" s="136"/>
      <c r="I32" s="136"/>
      <c r="J32" s="136">
        <v>21000</v>
      </c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45">
        <f t="shared" si="5"/>
        <v>21000</v>
      </c>
      <c r="AF32" s="272"/>
      <c r="AG32" s="136"/>
    </row>
    <row r="33" spans="1:33" ht="18.75" customHeight="1" x14ac:dyDescent="0.3">
      <c r="A33" s="996">
        <v>45615</v>
      </c>
      <c r="B33" s="136"/>
      <c r="C33" s="136"/>
      <c r="D33" s="136"/>
      <c r="E33" s="136"/>
      <c r="F33" s="136"/>
      <c r="G33" s="136"/>
      <c r="H33" s="136"/>
      <c r="I33" s="136">
        <v>60</v>
      </c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45">
        <f t="shared" si="5"/>
        <v>60</v>
      </c>
      <c r="AF33" s="272"/>
      <c r="AG33" s="138"/>
    </row>
    <row r="34" spans="1:33" ht="18.75" customHeight="1" x14ac:dyDescent="0.3">
      <c r="A34" s="996">
        <v>45615</v>
      </c>
      <c r="B34" s="136"/>
      <c r="C34" s="136"/>
      <c r="D34" s="136"/>
      <c r="E34" s="136"/>
      <c r="F34" s="136"/>
      <c r="G34" s="136"/>
      <c r="H34" s="136"/>
      <c r="I34" s="136"/>
      <c r="J34" s="136">
        <v>42576.37</v>
      </c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45">
        <f t="shared" si="5"/>
        <v>42576.37</v>
      </c>
      <c r="AF34" s="272"/>
      <c r="AG34" s="138"/>
    </row>
    <row r="35" spans="1:33" ht="18.75" customHeight="1" x14ac:dyDescent="0.3">
      <c r="A35" s="996">
        <v>45617</v>
      </c>
      <c r="B35" s="136"/>
      <c r="C35" s="136"/>
      <c r="D35" s="136"/>
      <c r="E35" s="136"/>
      <c r="F35" s="136"/>
      <c r="G35" s="136"/>
      <c r="H35" s="136"/>
      <c r="I35" s="136">
        <v>1575</v>
      </c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45">
        <f t="shared" si="5"/>
        <v>1575</v>
      </c>
      <c r="AF35" s="272"/>
      <c r="AG35" s="136"/>
    </row>
    <row r="36" spans="1:33" ht="18.75" customHeight="1" x14ac:dyDescent="0.3">
      <c r="A36" s="996">
        <v>45617</v>
      </c>
      <c r="B36" s="136"/>
      <c r="C36" s="136">
        <v>26300.6</v>
      </c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45">
        <f t="shared" si="5"/>
        <v>26300.6</v>
      </c>
      <c r="AF36" s="272"/>
      <c r="AG36" s="136"/>
    </row>
    <row r="37" spans="1:33" ht="18.75" customHeight="1" x14ac:dyDescent="0.3">
      <c r="A37" s="996">
        <v>45618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>
        <v>1860</v>
      </c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45">
        <f t="shared" si="5"/>
        <v>1860</v>
      </c>
      <c r="AF37" s="272"/>
      <c r="AG37" s="136"/>
    </row>
    <row r="38" spans="1:33" ht="18.75" customHeight="1" x14ac:dyDescent="0.3">
      <c r="A38" s="996">
        <v>45618</v>
      </c>
      <c r="B38" s="136"/>
      <c r="E38" s="136"/>
      <c r="F38" s="136"/>
      <c r="G38" s="136"/>
      <c r="H38" s="136"/>
      <c r="I38" s="136"/>
      <c r="J38" s="136"/>
      <c r="K38" s="136"/>
      <c r="L38" s="136"/>
      <c r="M38" s="136">
        <v>2760</v>
      </c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45">
        <f t="shared" si="5"/>
        <v>2760</v>
      </c>
      <c r="AF38" s="272"/>
      <c r="AG38" s="136"/>
    </row>
    <row r="39" spans="1:33" ht="18.75" customHeight="1" x14ac:dyDescent="0.3">
      <c r="A39" s="996">
        <v>45618</v>
      </c>
      <c r="B39" s="136"/>
      <c r="C39" s="136"/>
      <c r="D39" s="136"/>
      <c r="E39" s="136"/>
      <c r="F39" s="136"/>
      <c r="G39" s="136"/>
      <c r="H39" s="136"/>
      <c r="I39" s="136">
        <v>3600</v>
      </c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45">
        <f t="shared" si="5"/>
        <v>3600</v>
      </c>
      <c r="AF39" s="272"/>
      <c r="AG39" s="136"/>
    </row>
    <row r="40" spans="1:33" ht="18.75" customHeight="1" x14ac:dyDescent="0.3">
      <c r="A40" s="281">
        <v>45621</v>
      </c>
      <c r="B40" s="136"/>
      <c r="C40" s="136"/>
      <c r="D40" s="136"/>
      <c r="E40" s="136"/>
      <c r="F40" s="136"/>
      <c r="G40" s="136">
        <v>2600</v>
      </c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45">
        <f t="shared" si="5"/>
        <v>2600</v>
      </c>
      <c r="AF40" s="272"/>
      <c r="AG40" s="136"/>
    </row>
    <row r="41" spans="1:33" ht="18.75" customHeight="1" x14ac:dyDescent="0.3">
      <c r="A41" s="281">
        <v>45623</v>
      </c>
      <c r="B41" s="136"/>
      <c r="C41" s="136"/>
      <c r="D41" s="136"/>
      <c r="E41" s="136"/>
      <c r="F41" s="136"/>
      <c r="G41" s="136"/>
      <c r="H41" s="136"/>
      <c r="I41" s="136">
        <v>2100</v>
      </c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45">
        <f t="shared" si="5"/>
        <v>2100</v>
      </c>
      <c r="AF41" s="272"/>
      <c r="AG41" s="136"/>
    </row>
    <row r="42" spans="1:33" ht="18.75" customHeight="1" x14ac:dyDescent="0.3">
      <c r="A42" s="281">
        <v>45624</v>
      </c>
      <c r="B42" s="136"/>
      <c r="C42" s="136"/>
      <c r="D42" s="136"/>
      <c r="E42" s="136"/>
      <c r="F42" s="136"/>
      <c r="G42" s="136"/>
      <c r="H42" s="136"/>
      <c r="I42" s="136">
        <v>363</v>
      </c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45">
        <f t="shared" si="5"/>
        <v>363</v>
      </c>
      <c r="AF42" s="272"/>
      <c r="AG42" s="136"/>
    </row>
    <row r="43" spans="1:33" ht="18.75" customHeight="1" x14ac:dyDescent="0.3">
      <c r="A43" s="281">
        <v>45624</v>
      </c>
      <c r="B43" s="136"/>
      <c r="C43" s="136"/>
      <c r="D43" s="136">
        <v>3500</v>
      </c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45">
        <f t="shared" si="5"/>
        <v>3500</v>
      </c>
      <c r="AF43" s="272"/>
      <c r="AG43" s="136"/>
    </row>
    <row r="44" spans="1:33" ht="18.75" customHeight="1" x14ac:dyDescent="0.3">
      <c r="A44" s="281">
        <v>45624</v>
      </c>
      <c r="B44" s="136"/>
      <c r="C44" s="136"/>
      <c r="D44" s="136"/>
      <c r="E44" s="136"/>
      <c r="F44" s="136"/>
      <c r="G44" s="136"/>
      <c r="H44" s="136"/>
      <c r="I44" s="136">
        <v>1750</v>
      </c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45">
        <f t="shared" si="5"/>
        <v>1750</v>
      </c>
      <c r="AF44" s="272"/>
      <c r="AG44" s="136"/>
    </row>
    <row r="45" spans="1:33" ht="18.75" customHeight="1" x14ac:dyDescent="0.3">
      <c r="A45" s="281">
        <v>45625</v>
      </c>
      <c r="B45" s="136"/>
      <c r="C45" s="136"/>
      <c r="D45" s="136"/>
      <c r="E45" s="136"/>
      <c r="F45" s="136"/>
      <c r="G45" s="136"/>
      <c r="H45" s="136"/>
      <c r="I45" s="136">
        <v>1400</v>
      </c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45">
        <f t="shared" si="5"/>
        <v>1400</v>
      </c>
      <c r="AF45" s="272"/>
      <c r="AG45" s="136"/>
    </row>
    <row r="46" spans="1:33" ht="18.75" customHeight="1" x14ac:dyDescent="0.3">
      <c r="A46" s="281"/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45">
        <f t="shared" si="5"/>
        <v>0</v>
      </c>
      <c r="AF46" s="272"/>
      <c r="AG46" s="136"/>
    </row>
    <row r="47" spans="1:33" ht="18.75" customHeight="1" x14ac:dyDescent="0.3">
      <c r="A47" s="287" t="s">
        <v>217</v>
      </c>
      <c r="B47" s="279">
        <f t="shared" ref="B47:AD47" si="7">SUM(B20:B46)</f>
        <v>11926</v>
      </c>
      <c r="C47" s="279">
        <f t="shared" si="7"/>
        <v>40710.1</v>
      </c>
      <c r="D47" s="279">
        <f t="shared" si="7"/>
        <v>3500</v>
      </c>
      <c r="E47" s="279">
        <f t="shared" si="7"/>
        <v>0</v>
      </c>
      <c r="F47" s="279">
        <f t="shared" si="7"/>
        <v>0</v>
      </c>
      <c r="G47" s="279">
        <f t="shared" si="7"/>
        <v>2600</v>
      </c>
      <c r="H47" s="279">
        <f t="shared" si="7"/>
        <v>0</v>
      </c>
      <c r="I47" s="279">
        <f t="shared" si="7"/>
        <v>13998</v>
      </c>
      <c r="J47" s="279">
        <f t="shared" si="7"/>
        <v>107576.37</v>
      </c>
      <c r="K47" s="279">
        <f t="shared" si="7"/>
        <v>0</v>
      </c>
      <c r="L47" s="279">
        <f t="shared" si="7"/>
        <v>1150</v>
      </c>
      <c r="M47" s="279">
        <f t="shared" si="7"/>
        <v>11170</v>
      </c>
      <c r="N47" s="279">
        <f t="shared" si="7"/>
        <v>0</v>
      </c>
      <c r="O47" s="279">
        <f t="shared" si="7"/>
        <v>0</v>
      </c>
      <c r="P47" s="279">
        <f t="shared" si="7"/>
        <v>0</v>
      </c>
      <c r="Q47" s="279">
        <f t="shared" si="7"/>
        <v>0</v>
      </c>
      <c r="R47" s="279">
        <f t="shared" si="7"/>
        <v>0</v>
      </c>
      <c r="S47" s="279">
        <f t="shared" si="7"/>
        <v>0</v>
      </c>
      <c r="T47" s="279">
        <f t="shared" si="7"/>
        <v>0</v>
      </c>
      <c r="U47" s="279">
        <f t="shared" si="7"/>
        <v>0</v>
      </c>
      <c r="V47" s="279">
        <f t="shared" si="7"/>
        <v>0</v>
      </c>
      <c r="W47" s="279">
        <f t="shared" si="7"/>
        <v>0</v>
      </c>
      <c r="X47" s="279">
        <f t="shared" si="7"/>
        <v>0</v>
      </c>
      <c r="Y47" s="279">
        <f t="shared" si="7"/>
        <v>0</v>
      </c>
      <c r="Z47" s="279">
        <f t="shared" ref="Z47:AA47" si="8">SUM(Z20:Z46)</f>
        <v>0</v>
      </c>
      <c r="AA47" s="279">
        <f t="shared" si="8"/>
        <v>0</v>
      </c>
      <c r="AB47" s="279">
        <f t="shared" si="7"/>
        <v>0</v>
      </c>
      <c r="AC47" s="279">
        <f t="shared" si="7"/>
        <v>0</v>
      </c>
      <c r="AD47" s="279">
        <f t="shared" si="7"/>
        <v>0</v>
      </c>
      <c r="AE47" s="280">
        <f t="shared" si="5"/>
        <v>192630.47</v>
      </c>
      <c r="AF47" s="339"/>
      <c r="AG47" s="340"/>
    </row>
    <row r="48" spans="1:33" ht="18.75" customHeight="1" x14ac:dyDescent="0.3">
      <c r="A48" s="287" t="s">
        <v>218</v>
      </c>
      <c r="B48" s="279">
        <f t="shared" ref="B48:AD48" si="9">SUM(B18+B47)</f>
        <v>11926</v>
      </c>
      <c r="C48" s="279">
        <f t="shared" si="9"/>
        <v>40710.1</v>
      </c>
      <c r="D48" s="279">
        <f t="shared" si="9"/>
        <v>3500</v>
      </c>
      <c r="E48" s="279">
        <f t="shared" si="9"/>
        <v>0</v>
      </c>
      <c r="F48" s="279">
        <f t="shared" si="9"/>
        <v>0</v>
      </c>
      <c r="G48" s="279">
        <f t="shared" si="9"/>
        <v>2600</v>
      </c>
      <c r="H48" s="279">
        <f t="shared" si="9"/>
        <v>0</v>
      </c>
      <c r="I48" s="279">
        <f t="shared" si="9"/>
        <v>15258</v>
      </c>
      <c r="J48" s="279">
        <f t="shared" si="9"/>
        <v>320434.92000000004</v>
      </c>
      <c r="K48" s="279">
        <f t="shared" si="9"/>
        <v>0</v>
      </c>
      <c r="L48" s="279">
        <f t="shared" si="9"/>
        <v>1150</v>
      </c>
      <c r="M48" s="279">
        <f t="shared" si="9"/>
        <v>16440</v>
      </c>
      <c r="N48" s="279">
        <f t="shared" si="9"/>
        <v>0</v>
      </c>
      <c r="O48" s="279">
        <f t="shared" si="9"/>
        <v>0</v>
      </c>
      <c r="P48" s="279">
        <f t="shared" si="9"/>
        <v>0</v>
      </c>
      <c r="Q48" s="279">
        <f t="shared" si="9"/>
        <v>0</v>
      </c>
      <c r="R48" s="279">
        <f t="shared" si="9"/>
        <v>0</v>
      </c>
      <c r="S48" s="279">
        <f t="shared" si="9"/>
        <v>0</v>
      </c>
      <c r="T48" s="279">
        <f t="shared" si="9"/>
        <v>0</v>
      </c>
      <c r="U48" s="279">
        <f t="shared" si="9"/>
        <v>0</v>
      </c>
      <c r="V48" s="279">
        <f t="shared" si="9"/>
        <v>0</v>
      </c>
      <c r="W48" s="279">
        <f t="shared" si="9"/>
        <v>0</v>
      </c>
      <c r="X48" s="279">
        <f t="shared" si="9"/>
        <v>0</v>
      </c>
      <c r="Y48" s="279">
        <f t="shared" si="9"/>
        <v>0</v>
      </c>
      <c r="Z48" s="279">
        <f t="shared" ref="Z48:AA48" si="10">SUM(Z18+Z47)</f>
        <v>0</v>
      </c>
      <c r="AA48" s="279">
        <f t="shared" si="10"/>
        <v>0</v>
      </c>
      <c r="AB48" s="279">
        <f t="shared" si="9"/>
        <v>0</v>
      </c>
      <c r="AC48" s="279">
        <f t="shared" si="9"/>
        <v>0</v>
      </c>
      <c r="AD48" s="279">
        <f t="shared" si="9"/>
        <v>0</v>
      </c>
      <c r="AE48" s="280">
        <f t="shared" si="5"/>
        <v>412019.02</v>
      </c>
      <c r="AF48" s="308"/>
      <c r="AG48" s="195"/>
    </row>
    <row r="49" spans="1:33" ht="18.75" customHeight="1" x14ac:dyDescent="0.3">
      <c r="A49" s="287" t="s">
        <v>219</v>
      </c>
      <c r="B49" s="279">
        <f t="shared" ref="B49:AD49" si="11">SUM(B19-B47)</f>
        <v>554874</v>
      </c>
      <c r="C49" s="279">
        <f t="shared" si="11"/>
        <v>109289.9</v>
      </c>
      <c r="D49" s="279">
        <f t="shared" si="11"/>
        <v>324500</v>
      </c>
      <c r="E49" s="279">
        <f t="shared" si="11"/>
        <v>0</v>
      </c>
      <c r="F49" s="279">
        <f t="shared" si="11"/>
        <v>0</v>
      </c>
      <c r="G49" s="279">
        <f t="shared" si="11"/>
        <v>-2600</v>
      </c>
      <c r="H49" s="279">
        <f t="shared" si="11"/>
        <v>0</v>
      </c>
      <c r="I49" s="279">
        <f t="shared" si="11"/>
        <v>232642</v>
      </c>
      <c r="J49" s="279">
        <f t="shared" si="11"/>
        <v>-320434.92000000004</v>
      </c>
      <c r="K49" s="279">
        <f t="shared" si="11"/>
        <v>0</v>
      </c>
      <c r="L49" s="279">
        <f t="shared" si="11"/>
        <v>248850</v>
      </c>
      <c r="M49" s="279">
        <f t="shared" si="11"/>
        <v>123560</v>
      </c>
      <c r="N49" s="279">
        <f t="shared" si="11"/>
        <v>0</v>
      </c>
      <c r="O49" s="279">
        <f t="shared" si="11"/>
        <v>0</v>
      </c>
      <c r="P49" s="279">
        <f t="shared" si="11"/>
        <v>0</v>
      </c>
      <c r="Q49" s="279">
        <f t="shared" si="11"/>
        <v>214000</v>
      </c>
      <c r="R49" s="279">
        <f t="shared" si="11"/>
        <v>388945</v>
      </c>
      <c r="S49" s="279">
        <f t="shared" si="11"/>
        <v>74900</v>
      </c>
      <c r="T49" s="279">
        <f t="shared" si="11"/>
        <v>1193659</v>
      </c>
      <c r="U49" s="279">
        <f t="shared" si="11"/>
        <v>1504800</v>
      </c>
      <c r="V49" s="279">
        <f t="shared" si="11"/>
        <v>189600</v>
      </c>
      <c r="W49" s="279">
        <f t="shared" si="11"/>
        <v>99296</v>
      </c>
      <c r="X49" s="279">
        <f t="shared" si="11"/>
        <v>160000</v>
      </c>
      <c r="Y49" s="279">
        <f t="shared" si="11"/>
        <v>8500000</v>
      </c>
      <c r="Z49" s="279">
        <f t="shared" ref="Z49:AA49" si="12">SUM(Z19-Z47)</f>
        <v>716400</v>
      </c>
      <c r="AA49" s="279">
        <f t="shared" si="12"/>
        <v>1113800</v>
      </c>
      <c r="AB49" s="279">
        <f t="shared" si="11"/>
        <v>174800</v>
      </c>
      <c r="AC49" s="279">
        <f t="shared" si="11"/>
        <v>198000</v>
      </c>
      <c r="AD49" s="279">
        <f t="shared" si="11"/>
        <v>0</v>
      </c>
      <c r="AE49" s="280">
        <f t="shared" si="5"/>
        <v>15798880.98</v>
      </c>
      <c r="AF49" s="308"/>
      <c r="AG49" s="195"/>
    </row>
    <row r="50" spans="1:33" ht="18.75" customHeight="1" x14ac:dyDescent="0.3">
      <c r="A50" s="284" t="s">
        <v>220</v>
      </c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45">
        <f t="shared" si="5"/>
        <v>0</v>
      </c>
      <c r="AF50" s="272"/>
      <c r="AG50" s="136"/>
    </row>
    <row r="51" spans="1:33" ht="18.75" customHeight="1" x14ac:dyDescent="0.3">
      <c r="A51" s="281">
        <v>243954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>
        <v>10000</v>
      </c>
      <c r="M51" s="195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45">
        <f t="shared" si="5"/>
        <v>10000</v>
      </c>
      <c r="AF51" s="293"/>
      <c r="AG51" s="136"/>
    </row>
    <row r="52" spans="1:33" ht="18.75" customHeight="1" x14ac:dyDescent="0.3">
      <c r="A52" s="281">
        <v>243954</v>
      </c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>
        <v>700</v>
      </c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45">
        <f t="shared" si="5"/>
        <v>700</v>
      </c>
      <c r="AF52" s="272"/>
      <c r="AG52" s="136"/>
    </row>
    <row r="53" spans="1:33" ht="18.75" customHeight="1" x14ac:dyDescent="0.3">
      <c r="A53" s="281">
        <v>243954</v>
      </c>
      <c r="B53" s="136"/>
      <c r="C53" s="136"/>
      <c r="D53" s="136"/>
      <c r="E53" s="136"/>
      <c r="F53" s="136"/>
      <c r="G53" s="136"/>
      <c r="H53" s="136"/>
      <c r="I53" s="136">
        <v>60</v>
      </c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45">
        <f t="shared" si="5"/>
        <v>60</v>
      </c>
      <c r="AF53" s="272"/>
      <c r="AG53" s="136"/>
    </row>
    <row r="54" spans="1:33" ht="18.75" customHeight="1" x14ac:dyDescent="0.3">
      <c r="A54" s="281">
        <v>243955</v>
      </c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>
        <v>1340</v>
      </c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45">
        <f t="shared" ref="AE54:AE85" si="13">SUM(B54:AD54)</f>
        <v>1340</v>
      </c>
      <c r="AF54" s="272"/>
      <c r="AG54" s="136"/>
    </row>
    <row r="55" spans="1:33" ht="18.75" customHeight="1" x14ac:dyDescent="0.3">
      <c r="A55" s="281">
        <v>243955</v>
      </c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>
        <f>3000-690</f>
        <v>2310</v>
      </c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45">
        <f t="shared" si="13"/>
        <v>2310</v>
      </c>
      <c r="AF55" s="272"/>
      <c r="AG55" s="136"/>
    </row>
    <row r="56" spans="1:33" ht="18.75" customHeight="1" x14ac:dyDescent="0.3">
      <c r="A56" s="281">
        <v>243955</v>
      </c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>
        <v>6445</v>
      </c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45">
        <f t="shared" si="13"/>
        <v>6445</v>
      </c>
      <c r="AF56" s="272"/>
      <c r="AG56" s="138"/>
    </row>
    <row r="57" spans="1:33" ht="18.75" customHeight="1" x14ac:dyDescent="0.3">
      <c r="A57" s="281">
        <v>243956</v>
      </c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>
        <v>350</v>
      </c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45">
        <f t="shared" si="13"/>
        <v>350</v>
      </c>
      <c r="AF57" s="272"/>
      <c r="AG57" s="138"/>
    </row>
    <row r="58" spans="1:33" ht="18.75" customHeight="1" x14ac:dyDescent="0.3">
      <c r="A58" s="281">
        <v>243963</v>
      </c>
      <c r="B58" s="136"/>
      <c r="C58" s="136"/>
      <c r="D58" s="136"/>
      <c r="E58" s="136"/>
      <c r="F58" s="136"/>
      <c r="G58" s="136"/>
      <c r="H58" s="136"/>
      <c r="I58" s="136">
        <v>210</v>
      </c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45">
        <f t="shared" si="13"/>
        <v>210</v>
      </c>
      <c r="AF58" s="272"/>
      <c r="AG58" s="136"/>
    </row>
    <row r="59" spans="1:33" ht="18.75" customHeight="1" x14ac:dyDescent="0.3">
      <c r="A59" s="281">
        <v>243963</v>
      </c>
      <c r="B59" s="136"/>
      <c r="C59" s="136"/>
      <c r="D59" s="136"/>
      <c r="E59" s="136"/>
      <c r="F59" s="136"/>
      <c r="G59" s="136"/>
      <c r="H59" s="136"/>
      <c r="I59" s="136">
        <v>2450</v>
      </c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45">
        <f t="shared" si="13"/>
        <v>2450</v>
      </c>
      <c r="AF59" s="272"/>
      <c r="AG59" s="136"/>
    </row>
    <row r="60" spans="1:33" ht="18.75" customHeight="1" x14ac:dyDescent="0.3">
      <c r="A60" s="281">
        <v>243963</v>
      </c>
      <c r="B60" s="136"/>
      <c r="C60" s="136"/>
      <c r="D60" s="136"/>
      <c r="E60" s="136"/>
      <c r="F60" s="136"/>
      <c r="G60" s="136"/>
      <c r="H60" s="136"/>
      <c r="I60" s="136">
        <v>245</v>
      </c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45">
        <f t="shared" si="13"/>
        <v>245</v>
      </c>
      <c r="AF60" s="272"/>
      <c r="AG60" s="136"/>
    </row>
    <row r="61" spans="1:33" ht="18.75" customHeight="1" x14ac:dyDescent="0.3">
      <c r="A61" s="281">
        <v>243964</v>
      </c>
      <c r="B61" s="136"/>
      <c r="C61" s="136"/>
      <c r="D61" s="136"/>
      <c r="E61" s="136"/>
      <c r="F61" s="136"/>
      <c r="G61" s="136"/>
      <c r="H61" s="136"/>
      <c r="I61" s="136">
        <v>5100</v>
      </c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45">
        <f t="shared" si="13"/>
        <v>5100</v>
      </c>
      <c r="AF61" s="272"/>
      <c r="AG61" s="136"/>
    </row>
    <row r="62" spans="1:33" ht="18.75" customHeight="1" x14ac:dyDescent="0.3">
      <c r="A62" s="281">
        <v>243964</v>
      </c>
      <c r="B62" s="136"/>
      <c r="C62" s="136"/>
      <c r="D62" s="136"/>
      <c r="E62" s="136"/>
      <c r="F62" s="136"/>
      <c r="G62" s="136"/>
      <c r="H62" s="136"/>
      <c r="I62" s="136">
        <v>2100</v>
      </c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45">
        <f t="shared" si="13"/>
        <v>2100</v>
      </c>
      <c r="AF62" s="272"/>
      <c r="AG62" s="136"/>
    </row>
    <row r="63" spans="1:33" ht="18.75" customHeight="1" x14ac:dyDescent="0.3">
      <c r="A63" s="281">
        <v>243964</v>
      </c>
      <c r="B63" s="136"/>
      <c r="C63" s="136"/>
      <c r="D63" s="136"/>
      <c r="E63" s="136"/>
      <c r="F63" s="136"/>
      <c r="G63" s="136"/>
      <c r="H63" s="136"/>
      <c r="I63" s="136"/>
      <c r="J63" s="136"/>
      <c r="K63" s="136">
        <v>15200</v>
      </c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45">
        <f t="shared" si="13"/>
        <v>15200</v>
      </c>
      <c r="AF63" s="272"/>
      <c r="AG63" s="138"/>
    </row>
    <row r="64" spans="1:33" ht="18.75" customHeight="1" x14ac:dyDescent="0.3">
      <c r="A64" s="281">
        <v>243969</v>
      </c>
      <c r="B64" s="136"/>
      <c r="C64" s="136"/>
      <c r="D64" s="136"/>
      <c r="E64" s="136"/>
      <c r="F64" s="136"/>
      <c r="G64" s="136"/>
      <c r="H64" s="136"/>
      <c r="I64" s="136">
        <v>1400</v>
      </c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45">
        <f t="shared" si="13"/>
        <v>1400</v>
      </c>
      <c r="AF64" s="272"/>
      <c r="AG64" s="138"/>
    </row>
    <row r="65" spans="1:33" ht="18.75" customHeight="1" x14ac:dyDescent="0.3">
      <c r="A65" s="281">
        <v>243969</v>
      </c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>
        <v>2710</v>
      </c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45">
        <f t="shared" si="13"/>
        <v>2710</v>
      </c>
      <c r="AF65" s="272"/>
      <c r="AG65" s="136"/>
    </row>
    <row r="66" spans="1:33" ht="18.75" customHeight="1" x14ac:dyDescent="0.3">
      <c r="A66" s="281">
        <v>243971</v>
      </c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>
        <v>13800</v>
      </c>
      <c r="AD66" s="136"/>
      <c r="AE66" s="145">
        <f t="shared" si="13"/>
        <v>13800</v>
      </c>
      <c r="AF66" s="272"/>
      <c r="AG66" s="136"/>
    </row>
    <row r="67" spans="1:33" ht="18.75" customHeight="1" x14ac:dyDescent="0.3">
      <c r="A67" s="281">
        <v>243972</v>
      </c>
      <c r="B67" s="136">
        <v>4500</v>
      </c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45">
        <f t="shared" si="13"/>
        <v>4500</v>
      </c>
      <c r="AF67" s="272"/>
      <c r="AG67" s="136"/>
    </row>
    <row r="68" spans="1:33" ht="18.75" customHeight="1" x14ac:dyDescent="0.3">
      <c r="A68" s="281">
        <v>243972</v>
      </c>
      <c r="B68" s="136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6"/>
      <c r="AA68" s="136"/>
      <c r="AB68" s="136">
        <v>27760.080000000002</v>
      </c>
      <c r="AC68" s="136"/>
      <c r="AD68" s="136"/>
      <c r="AE68" s="145">
        <f t="shared" si="13"/>
        <v>27760.080000000002</v>
      </c>
      <c r="AF68" s="272"/>
      <c r="AG68" s="136"/>
    </row>
    <row r="69" spans="1:33" ht="18.75" customHeight="1" x14ac:dyDescent="0.3">
      <c r="A69" s="281">
        <v>243972</v>
      </c>
      <c r="B69" s="136"/>
      <c r="C69" s="136"/>
      <c r="D69" s="136"/>
      <c r="E69" s="136"/>
      <c r="F69" s="136"/>
      <c r="G69" s="136"/>
      <c r="H69" s="136"/>
      <c r="I69" s="136">
        <v>60</v>
      </c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45">
        <f t="shared" si="13"/>
        <v>60</v>
      </c>
      <c r="AF69" s="272"/>
      <c r="AG69" s="136"/>
    </row>
    <row r="70" spans="1:33" ht="18.75" customHeight="1" x14ac:dyDescent="0.3">
      <c r="A70" s="281">
        <v>243972</v>
      </c>
      <c r="B70" s="136"/>
      <c r="C70" s="136"/>
      <c r="D70" s="136"/>
      <c r="E70" s="136"/>
      <c r="F70" s="136"/>
      <c r="G70" s="136"/>
      <c r="H70" s="136"/>
      <c r="I70" s="136">
        <v>2500</v>
      </c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45">
        <f t="shared" si="13"/>
        <v>2500</v>
      </c>
      <c r="AF70" s="272"/>
      <c r="AG70" s="138"/>
    </row>
    <row r="71" spans="1:33" ht="18.75" customHeight="1" x14ac:dyDescent="0.3">
      <c r="A71" s="281">
        <v>243977</v>
      </c>
      <c r="B71" s="136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>
        <v>700</v>
      </c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45">
        <f t="shared" si="13"/>
        <v>700</v>
      </c>
      <c r="AF71" s="272"/>
      <c r="AG71" s="138"/>
    </row>
    <row r="72" spans="1:33" ht="18.75" customHeight="1" x14ac:dyDescent="0.3">
      <c r="A72" s="281">
        <v>243977</v>
      </c>
      <c r="B72" s="136"/>
      <c r="C72" s="136"/>
      <c r="D72" s="136"/>
      <c r="E72" s="136"/>
      <c r="F72" s="136"/>
      <c r="G72" s="136"/>
      <c r="H72" s="136"/>
      <c r="I72" s="136">
        <v>50</v>
      </c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45">
        <f t="shared" si="13"/>
        <v>50</v>
      </c>
      <c r="AF72" s="272"/>
      <c r="AG72" s="138"/>
    </row>
    <row r="73" spans="1:33" ht="18.75" customHeight="1" x14ac:dyDescent="0.3">
      <c r="A73" s="281">
        <v>243977</v>
      </c>
      <c r="B73" s="136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>
        <v>39162</v>
      </c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45">
        <f t="shared" si="13"/>
        <v>39162</v>
      </c>
      <c r="AF73" s="272"/>
      <c r="AG73" s="136"/>
    </row>
    <row r="74" spans="1:33" ht="18.75" customHeight="1" x14ac:dyDescent="0.3">
      <c r="A74" s="281">
        <v>243978</v>
      </c>
      <c r="B74" s="136"/>
      <c r="C74" s="136"/>
      <c r="D74" s="136"/>
      <c r="E74" s="136"/>
      <c r="F74" s="136"/>
      <c r="G74" s="136"/>
      <c r="H74" s="136"/>
      <c r="I74" s="195">
        <v>600</v>
      </c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45">
        <f t="shared" si="13"/>
        <v>600</v>
      </c>
      <c r="AF74" s="292"/>
      <c r="AG74" s="136"/>
    </row>
    <row r="75" spans="1:33" ht="18.75" customHeight="1" x14ac:dyDescent="0.3">
      <c r="A75" s="281"/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45">
        <f t="shared" si="13"/>
        <v>0</v>
      </c>
      <c r="AF75" s="272"/>
      <c r="AG75" s="136"/>
    </row>
    <row r="76" spans="1:33" ht="18.75" customHeight="1" x14ac:dyDescent="0.3">
      <c r="A76" s="281"/>
      <c r="B76" s="136"/>
      <c r="C76" s="136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45">
        <f t="shared" si="13"/>
        <v>0</v>
      </c>
      <c r="AF76" s="272"/>
      <c r="AG76" s="136"/>
    </row>
    <row r="77" spans="1:33" ht="18.75" customHeight="1" x14ac:dyDescent="0.3">
      <c r="A77" s="287" t="s">
        <v>221</v>
      </c>
      <c r="B77" s="279">
        <f t="shared" ref="B77:AD77" si="14">SUM(B50:B76)</f>
        <v>4500</v>
      </c>
      <c r="C77" s="279">
        <f t="shared" si="14"/>
        <v>0</v>
      </c>
      <c r="D77" s="279">
        <f t="shared" si="14"/>
        <v>0</v>
      </c>
      <c r="E77" s="279">
        <f t="shared" si="14"/>
        <v>0</v>
      </c>
      <c r="F77" s="279">
        <f t="shared" si="14"/>
        <v>0</v>
      </c>
      <c r="G77" s="279">
        <f t="shared" si="14"/>
        <v>0</v>
      </c>
      <c r="H77" s="279">
        <f t="shared" si="14"/>
        <v>0</v>
      </c>
      <c r="I77" s="279">
        <f t="shared" si="14"/>
        <v>14775</v>
      </c>
      <c r="J77" s="279">
        <f t="shared" si="14"/>
        <v>0</v>
      </c>
      <c r="K77" s="279">
        <f t="shared" si="14"/>
        <v>15200</v>
      </c>
      <c r="L77" s="279">
        <f t="shared" si="14"/>
        <v>10000</v>
      </c>
      <c r="M77" s="279">
        <f t="shared" si="14"/>
        <v>14555</v>
      </c>
      <c r="N77" s="279">
        <f t="shared" si="14"/>
        <v>0</v>
      </c>
      <c r="O77" s="279">
        <f t="shared" si="14"/>
        <v>0</v>
      </c>
      <c r="P77" s="279">
        <f t="shared" si="14"/>
        <v>0</v>
      </c>
      <c r="Q77" s="279">
        <f t="shared" si="14"/>
        <v>0</v>
      </c>
      <c r="R77" s="279">
        <f t="shared" si="14"/>
        <v>0</v>
      </c>
      <c r="S77" s="279">
        <f t="shared" si="14"/>
        <v>0</v>
      </c>
      <c r="T77" s="279">
        <f t="shared" si="14"/>
        <v>39162</v>
      </c>
      <c r="U77" s="279">
        <f t="shared" si="14"/>
        <v>0</v>
      </c>
      <c r="V77" s="279">
        <f t="shared" si="14"/>
        <v>0</v>
      </c>
      <c r="W77" s="279">
        <f t="shared" si="14"/>
        <v>0</v>
      </c>
      <c r="X77" s="279">
        <f t="shared" si="14"/>
        <v>0</v>
      </c>
      <c r="Y77" s="279">
        <f t="shared" si="14"/>
        <v>0</v>
      </c>
      <c r="Z77" s="279">
        <f t="shared" ref="Z77:AA77" si="15">SUM(Z50:Z76)</f>
        <v>0</v>
      </c>
      <c r="AA77" s="279">
        <f t="shared" si="15"/>
        <v>0</v>
      </c>
      <c r="AB77" s="279">
        <f t="shared" si="14"/>
        <v>27760.080000000002</v>
      </c>
      <c r="AC77" s="279">
        <f t="shared" si="14"/>
        <v>13800</v>
      </c>
      <c r="AD77" s="279">
        <f t="shared" si="14"/>
        <v>0</v>
      </c>
      <c r="AE77" s="280">
        <f t="shared" si="13"/>
        <v>139752.08000000002</v>
      </c>
      <c r="AF77" s="339"/>
      <c r="AG77" s="340"/>
    </row>
    <row r="78" spans="1:33" ht="18.75" customHeight="1" x14ac:dyDescent="0.3">
      <c r="A78" s="287" t="s">
        <v>222</v>
      </c>
      <c r="B78" s="279">
        <f t="shared" ref="B78:AD78" si="16">SUM(B48+B77)</f>
        <v>16426</v>
      </c>
      <c r="C78" s="279">
        <f t="shared" si="16"/>
        <v>40710.1</v>
      </c>
      <c r="D78" s="279">
        <f t="shared" si="16"/>
        <v>3500</v>
      </c>
      <c r="E78" s="279">
        <f t="shared" si="16"/>
        <v>0</v>
      </c>
      <c r="F78" s="279">
        <f t="shared" si="16"/>
        <v>0</v>
      </c>
      <c r="G78" s="279">
        <f t="shared" si="16"/>
        <v>2600</v>
      </c>
      <c r="H78" s="279">
        <f t="shared" si="16"/>
        <v>0</v>
      </c>
      <c r="I78" s="279">
        <f t="shared" si="16"/>
        <v>30033</v>
      </c>
      <c r="J78" s="279">
        <f t="shared" si="16"/>
        <v>320434.92000000004</v>
      </c>
      <c r="K78" s="279">
        <f t="shared" si="16"/>
        <v>15200</v>
      </c>
      <c r="L78" s="279">
        <f t="shared" si="16"/>
        <v>11150</v>
      </c>
      <c r="M78" s="279">
        <f t="shared" si="16"/>
        <v>30995</v>
      </c>
      <c r="N78" s="279">
        <f t="shared" si="16"/>
        <v>0</v>
      </c>
      <c r="O78" s="279">
        <f t="shared" si="16"/>
        <v>0</v>
      </c>
      <c r="P78" s="279">
        <f t="shared" si="16"/>
        <v>0</v>
      </c>
      <c r="Q78" s="279">
        <f t="shared" si="16"/>
        <v>0</v>
      </c>
      <c r="R78" s="279">
        <f t="shared" si="16"/>
        <v>0</v>
      </c>
      <c r="S78" s="279">
        <f t="shared" si="16"/>
        <v>0</v>
      </c>
      <c r="T78" s="279">
        <f t="shared" si="16"/>
        <v>39162</v>
      </c>
      <c r="U78" s="279">
        <f t="shared" si="16"/>
        <v>0</v>
      </c>
      <c r="V78" s="279">
        <f t="shared" si="16"/>
        <v>0</v>
      </c>
      <c r="W78" s="279">
        <f t="shared" si="16"/>
        <v>0</v>
      </c>
      <c r="X78" s="279">
        <f t="shared" si="16"/>
        <v>0</v>
      </c>
      <c r="Y78" s="279">
        <f t="shared" si="16"/>
        <v>0</v>
      </c>
      <c r="Z78" s="279">
        <f t="shared" ref="Z78:AA78" si="17">SUM(Z48+Z77)</f>
        <v>0</v>
      </c>
      <c r="AA78" s="279">
        <f t="shared" si="17"/>
        <v>0</v>
      </c>
      <c r="AB78" s="279">
        <f t="shared" si="16"/>
        <v>27760.080000000002</v>
      </c>
      <c r="AC78" s="279">
        <f t="shared" si="16"/>
        <v>13800</v>
      </c>
      <c r="AD78" s="279">
        <f t="shared" si="16"/>
        <v>0</v>
      </c>
      <c r="AE78" s="280">
        <f t="shared" si="13"/>
        <v>551771.1</v>
      </c>
      <c r="AF78" s="308"/>
      <c r="AG78" s="195"/>
    </row>
    <row r="79" spans="1:33" ht="18.75" customHeight="1" x14ac:dyDescent="0.3">
      <c r="A79" s="287" t="s">
        <v>223</v>
      </c>
      <c r="B79" s="279">
        <f t="shared" ref="B79:AD79" si="18">SUM(B49-B77)</f>
        <v>550374</v>
      </c>
      <c r="C79" s="279">
        <f t="shared" si="18"/>
        <v>109289.9</v>
      </c>
      <c r="D79" s="279">
        <f t="shared" si="18"/>
        <v>324500</v>
      </c>
      <c r="E79" s="279">
        <f t="shared" si="18"/>
        <v>0</v>
      </c>
      <c r="F79" s="279">
        <f t="shared" si="18"/>
        <v>0</v>
      </c>
      <c r="G79" s="279">
        <f t="shared" si="18"/>
        <v>-2600</v>
      </c>
      <c r="H79" s="279">
        <f t="shared" si="18"/>
        <v>0</v>
      </c>
      <c r="I79" s="279">
        <f t="shared" si="18"/>
        <v>217867</v>
      </c>
      <c r="J79" s="279">
        <f t="shared" si="18"/>
        <v>-320434.92000000004</v>
      </c>
      <c r="K79" s="279">
        <f t="shared" si="18"/>
        <v>-15200</v>
      </c>
      <c r="L79" s="279">
        <f t="shared" si="18"/>
        <v>238850</v>
      </c>
      <c r="M79" s="279">
        <f t="shared" si="18"/>
        <v>109005</v>
      </c>
      <c r="N79" s="279">
        <f t="shared" si="18"/>
        <v>0</v>
      </c>
      <c r="O79" s="279">
        <f t="shared" si="18"/>
        <v>0</v>
      </c>
      <c r="P79" s="279">
        <f t="shared" si="18"/>
        <v>0</v>
      </c>
      <c r="Q79" s="279">
        <f t="shared" si="18"/>
        <v>214000</v>
      </c>
      <c r="R79" s="279">
        <f t="shared" si="18"/>
        <v>388945</v>
      </c>
      <c r="S79" s="279">
        <f t="shared" si="18"/>
        <v>74900</v>
      </c>
      <c r="T79" s="279">
        <f t="shared" si="18"/>
        <v>1154497</v>
      </c>
      <c r="U79" s="279">
        <f t="shared" si="18"/>
        <v>1504800</v>
      </c>
      <c r="V79" s="279">
        <f t="shared" si="18"/>
        <v>189600</v>
      </c>
      <c r="W79" s="279">
        <f t="shared" si="18"/>
        <v>99296</v>
      </c>
      <c r="X79" s="279">
        <f t="shared" si="18"/>
        <v>160000</v>
      </c>
      <c r="Y79" s="279">
        <f t="shared" si="18"/>
        <v>8500000</v>
      </c>
      <c r="Z79" s="279">
        <f t="shared" ref="Z79:AA79" si="19">SUM(Z49-Z77)</f>
        <v>716400</v>
      </c>
      <c r="AA79" s="279">
        <f t="shared" si="19"/>
        <v>1113800</v>
      </c>
      <c r="AB79" s="279">
        <f t="shared" si="18"/>
        <v>147039.91999999998</v>
      </c>
      <c r="AC79" s="279">
        <f t="shared" si="18"/>
        <v>184200</v>
      </c>
      <c r="AD79" s="279">
        <f t="shared" si="18"/>
        <v>0</v>
      </c>
      <c r="AE79" s="280">
        <f t="shared" si="13"/>
        <v>15659128.9</v>
      </c>
      <c r="AF79" s="308"/>
      <c r="AG79" s="195"/>
    </row>
    <row r="80" spans="1:33" ht="18.75" customHeight="1" x14ac:dyDescent="0.3">
      <c r="A80" s="284" t="s">
        <v>224</v>
      </c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45">
        <f t="shared" si="13"/>
        <v>0</v>
      </c>
      <c r="AF80" s="272"/>
      <c r="AG80" s="136"/>
    </row>
    <row r="81" spans="1:33" ht="18.75" customHeight="1" x14ac:dyDescent="0.3">
      <c r="A81" s="281"/>
      <c r="B81" s="136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45">
        <f t="shared" si="13"/>
        <v>0</v>
      </c>
      <c r="AF81" s="272"/>
      <c r="AG81" s="136"/>
    </row>
    <row r="82" spans="1:33" ht="18.75" customHeight="1" x14ac:dyDescent="0.3">
      <c r="A82" s="281">
        <v>243985</v>
      </c>
      <c r="B82" s="136"/>
      <c r="C82" s="136"/>
      <c r="D82" s="136"/>
      <c r="E82" s="136"/>
      <c r="F82" s="136"/>
      <c r="G82" s="136"/>
      <c r="H82" s="136"/>
      <c r="I82" s="136">
        <v>6300</v>
      </c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45">
        <f t="shared" si="13"/>
        <v>6300</v>
      </c>
      <c r="AF82" s="272" t="s">
        <v>1757</v>
      </c>
      <c r="AG82" s="136"/>
    </row>
    <row r="83" spans="1:33" ht="18.75" customHeight="1" x14ac:dyDescent="0.3">
      <c r="A83" s="281">
        <v>243985</v>
      </c>
      <c r="B83" s="136"/>
      <c r="C83" s="136"/>
      <c r="D83" s="136"/>
      <c r="E83" s="136"/>
      <c r="F83" s="136"/>
      <c r="G83" s="136"/>
      <c r="H83" s="136"/>
      <c r="I83" s="136"/>
      <c r="J83" s="136"/>
      <c r="K83" s="136"/>
      <c r="L83" s="136">
        <v>10192</v>
      </c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45">
        <f t="shared" si="13"/>
        <v>10192</v>
      </c>
      <c r="AF83" s="272" t="s">
        <v>1758</v>
      </c>
      <c r="AG83" s="136"/>
    </row>
    <row r="84" spans="1:33" ht="18.75" customHeight="1" x14ac:dyDescent="0.3">
      <c r="A84" s="281">
        <v>243989</v>
      </c>
      <c r="B84" s="136"/>
      <c r="C84" s="136"/>
      <c r="D84" s="136"/>
      <c r="E84" s="136"/>
      <c r="F84" s="136"/>
      <c r="G84" s="136"/>
      <c r="H84" s="136"/>
      <c r="I84" s="136">
        <v>1400</v>
      </c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45">
        <f t="shared" si="13"/>
        <v>1400</v>
      </c>
      <c r="AF84" s="272" t="s">
        <v>1761</v>
      </c>
      <c r="AG84" s="136"/>
    </row>
    <row r="85" spans="1:33" ht="18.75" customHeight="1" x14ac:dyDescent="0.3">
      <c r="A85" s="281">
        <v>243989</v>
      </c>
      <c r="B85" s="136"/>
      <c r="C85" s="136"/>
      <c r="D85" s="136"/>
      <c r="E85" s="136"/>
      <c r="F85" s="136"/>
      <c r="G85" s="136"/>
      <c r="H85" s="136"/>
      <c r="I85" s="136">
        <v>315</v>
      </c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45">
        <f t="shared" si="13"/>
        <v>315</v>
      </c>
      <c r="AF85" s="272" t="s">
        <v>1762</v>
      </c>
      <c r="AG85" s="138"/>
    </row>
    <row r="86" spans="1:33" ht="18.75" customHeight="1" x14ac:dyDescent="0.3">
      <c r="A86" s="281">
        <v>243989</v>
      </c>
      <c r="B86" s="136"/>
      <c r="C86" s="136"/>
      <c r="D86" s="136"/>
      <c r="E86" s="136"/>
      <c r="F86" s="136"/>
      <c r="G86" s="136"/>
      <c r="H86" s="136"/>
      <c r="I86" s="136">
        <v>210</v>
      </c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45">
        <f t="shared" ref="AE86:AE117" si="20">SUM(B86:AD86)</f>
        <v>210</v>
      </c>
      <c r="AF86" s="272" t="s">
        <v>1763</v>
      </c>
      <c r="AG86" s="138"/>
    </row>
    <row r="87" spans="1:33" ht="18.75" customHeight="1" x14ac:dyDescent="0.3">
      <c r="A87" s="281">
        <v>243989</v>
      </c>
      <c r="B87" s="136"/>
      <c r="C87" s="136"/>
      <c r="D87" s="136"/>
      <c r="E87" s="136"/>
      <c r="F87" s="136"/>
      <c r="G87" s="136"/>
      <c r="H87" s="136"/>
      <c r="I87" s="136">
        <v>5925</v>
      </c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45">
        <f t="shared" si="20"/>
        <v>5925</v>
      </c>
      <c r="AF87" s="272" t="s">
        <v>1765</v>
      </c>
      <c r="AG87" s="136"/>
    </row>
    <row r="88" spans="1:33" ht="18.75" customHeight="1" x14ac:dyDescent="0.3">
      <c r="A88" s="281">
        <v>243989</v>
      </c>
      <c r="B88" s="136"/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>
        <v>870</v>
      </c>
      <c r="N88" s="136"/>
      <c r="O88" s="136"/>
      <c r="P88" s="136"/>
      <c r="Q88" s="136"/>
      <c r="R88" s="136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45">
        <f t="shared" si="20"/>
        <v>870</v>
      </c>
      <c r="AF88" s="272" t="s">
        <v>1766</v>
      </c>
      <c r="AG88" s="136"/>
    </row>
    <row r="89" spans="1:33" ht="18.75" customHeight="1" x14ac:dyDescent="0.3">
      <c r="A89" s="281">
        <v>243989</v>
      </c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>
        <v>1840</v>
      </c>
      <c r="N89" s="136"/>
      <c r="O89" s="136"/>
      <c r="P89" s="136"/>
      <c r="Q89" s="136"/>
      <c r="R89" s="136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45">
        <f t="shared" si="20"/>
        <v>1840</v>
      </c>
      <c r="AF89" s="272" t="s">
        <v>1767</v>
      </c>
      <c r="AG89" s="136"/>
    </row>
    <row r="90" spans="1:33" ht="18.75" customHeight="1" x14ac:dyDescent="0.3">
      <c r="A90" s="281">
        <v>243989</v>
      </c>
      <c r="B90" s="136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  <c r="Y90" s="136"/>
      <c r="Z90" s="136"/>
      <c r="AA90" s="136"/>
      <c r="AB90" s="136">
        <v>27760.080000000002</v>
      </c>
      <c r="AC90" s="136"/>
      <c r="AD90" s="136"/>
      <c r="AE90" s="145">
        <f t="shared" si="20"/>
        <v>27760.080000000002</v>
      </c>
      <c r="AF90" s="272" t="s">
        <v>1768</v>
      </c>
      <c r="AG90" s="136"/>
    </row>
    <row r="91" spans="1:33" ht="18.75" customHeight="1" x14ac:dyDescent="0.3">
      <c r="A91" s="281">
        <v>243989</v>
      </c>
      <c r="B91" s="136"/>
      <c r="C91" s="136"/>
      <c r="D91" s="136"/>
      <c r="E91" s="136"/>
      <c r="F91" s="136"/>
      <c r="G91" s="136"/>
      <c r="H91" s="136"/>
      <c r="I91" s="136"/>
      <c r="J91" s="136"/>
      <c r="K91" s="136"/>
      <c r="L91" s="136">
        <v>45000</v>
      </c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45">
        <f t="shared" si="20"/>
        <v>45000</v>
      </c>
      <c r="AF91" s="272" t="s">
        <v>1770</v>
      </c>
      <c r="AG91" s="136"/>
    </row>
    <row r="92" spans="1:33" ht="18.75" customHeight="1" x14ac:dyDescent="0.3">
      <c r="A92" s="281">
        <v>243990</v>
      </c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>
        <v>3420</v>
      </c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45">
        <f t="shared" si="20"/>
        <v>3420</v>
      </c>
      <c r="AF92" s="272" t="s">
        <v>1771</v>
      </c>
      <c r="AG92" s="136"/>
    </row>
    <row r="93" spans="1:33" ht="18.75" customHeight="1" x14ac:dyDescent="0.3">
      <c r="A93" s="281">
        <v>243992</v>
      </c>
      <c r="B93" s="136"/>
      <c r="C93" s="136"/>
      <c r="D93" s="136"/>
      <c r="E93" s="136"/>
      <c r="F93" s="136"/>
      <c r="G93" s="136"/>
      <c r="H93" s="136"/>
      <c r="I93" s="136">
        <v>1225</v>
      </c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45">
        <f t="shared" si="20"/>
        <v>1225</v>
      </c>
      <c r="AF93" s="272" t="s">
        <v>1775</v>
      </c>
      <c r="AG93" s="138"/>
    </row>
    <row r="94" spans="1:33" ht="18.75" customHeight="1" x14ac:dyDescent="0.3">
      <c r="A94" s="281">
        <v>243992</v>
      </c>
      <c r="B94" s="136">
        <v>4708</v>
      </c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45">
        <f t="shared" si="20"/>
        <v>4708</v>
      </c>
      <c r="AF94" s="272" t="s">
        <v>1776</v>
      </c>
      <c r="AG94" s="138"/>
    </row>
    <row r="95" spans="1:33" ht="18.75" customHeight="1" x14ac:dyDescent="0.3">
      <c r="A95" s="281">
        <v>243992</v>
      </c>
      <c r="B95" s="136">
        <v>7500</v>
      </c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45">
        <f t="shared" si="20"/>
        <v>7500</v>
      </c>
      <c r="AF95" s="272" t="s">
        <v>1777</v>
      </c>
      <c r="AG95" s="136"/>
    </row>
    <row r="96" spans="1:33" ht="18.75" customHeight="1" x14ac:dyDescent="0.3">
      <c r="A96" s="281">
        <v>243993</v>
      </c>
      <c r="B96" s="136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>
        <v>135000</v>
      </c>
      <c r="V96" s="136"/>
      <c r="W96" s="136"/>
      <c r="X96" s="136"/>
      <c r="Y96" s="136"/>
      <c r="Z96" s="136"/>
      <c r="AA96" s="136"/>
      <c r="AB96" s="136"/>
      <c r="AC96" s="136"/>
      <c r="AD96" s="136"/>
      <c r="AE96" s="145">
        <f t="shared" si="20"/>
        <v>135000</v>
      </c>
      <c r="AF96" s="272" t="s">
        <v>1778</v>
      </c>
      <c r="AG96" s="136"/>
    </row>
    <row r="97" spans="1:33" ht="18.75" customHeight="1" x14ac:dyDescent="0.3">
      <c r="A97" s="281">
        <v>243993</v>
      </c>
      <c r="B97" s="136">
        <v>18297</v>
      </c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45">
        <f t="shared" si="20"/>
        <v>18297</v>
      </c>
      <c r="AF97" s="272" t="s">
        <v>1779</v>
      </c>
      <c r="AG97" s="136"/>
    </row>
    <row r="98" spans="1:33" ht="18.75" customHeight="1" x14ac:dyDescent="0.3">
      <c r="A98" s="281">
        <v>243996</v>
      </c>
      <c r="B98" s="136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>
        <v>14060.71</v>
      </c>
      <c r="AD98" s="136"/>
      <c r="AE98" s="145">
        <f t="shared" si="20"/>
        <v>14060.71</v>
      </c>
      <c r="AF98" s="272" t="s">
        <v>1780</v>
      </c>
      <c r="AG98" s="136"/>
    </row>
    <row r="99" spans="1:33" ht="18.75" customHeight="1" x14ac:dyDescent="0.3">
      <c r="A99" s="281">
        <v>243997</v>
      </c>
      <c r="B99" s="136"/>
      <c r="C99" s="136"/>
      <c r="D99" s="136"/>
      <c r="E99" s="136"/>
      <c r="F99" s="136"/>
      <c r="G99" s="136"/>
      <c r="H99" s="136"/>
      <c r="I99" s="136">
        <v>3000</v>
      </c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  <c r="AE99" s="145">
        <f t="shared" si="20"/>
        <v>3000</v>
      </c>
      <c r="AF99" s="272" t="s">
        <v>1785</v>
      </c>
      <c r="AG99" s="136"/>
    </row>
    <row r="100" spans="1:33" ht="18.75" customHeight="1" x14ac:dyDescent="0.3">
      <c r="A100" s="281">
        <v>244003</v>
      </c>
      <c r="B100" s="136"/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  <c r="M100" s="136">
        <v>2160</v>
      </c>
      <c r="N100" s="136"/>
      <c r="O100" s="136"/>
      <c r="P100" s="136"/>
      <c r="Q100" s="136"/>
      <c r="R100" s="136"/>
      <c r="S100" s="136"/>
      <c r="T100" s="136"/>
      <c r="U100" s="136"/>
      <c r="V100" s="136"/>
      <c r="W100" s="136"/>
      <c r="X100" s="136"/>
      <c r="Y100" s="136"/>
      <c r="Z100" s="136"/>
      <c r="AA100" s="136"/>
      <c r="AB100" s="136"/>
      <c r="AC100" s="136"/>
      <c r="AD100" s="136"/>
      <c r="AE100" s="145">
        <f t="shared" si="20"/>
        <v>2160</v>
      </c>
      <c r="AF100" s="272" t="s">
        <v>1793</v>
      </c>
      <c r="AG100" s="136"/>
    </row>
    <row r="101" spans="1:33" ht="18.75" customHeight="1" x14ac:dyDescent="0.3">
      <c r="A101" s="281">
        <v>244003</v>
      </c>
      <c r="B101" s="136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>
        <v>525</v>
      </c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145">
        <f t="shared" si="20"/>
        <v>525</v>
      </c>
      <c r="AF101" s="272" t="s">
        <v>1795</v>
      </c>
      <c r="AG101" s="136"/>
    </row>
    <row r="102" spans="1:33" ht="18.75" customHeight="1" x14ac:dyDescent="0.3">
      <c r="A102" s="281">
        <v>244003</v>
      </c>
      <c r="B102" s="136">
        <v>963</v>
      </c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  <c r="Q102" s="136"/>
      <c r="R102" s="136"/>
      <c r="S102" s="136"/>
      <c r="T102" s="136"/>
      <c r="U102" s="136"/>
      <c r="V102" s="136"/>
      <c r="W102" s="136"/>
      <c r="X102" s="136"/>
      <c r="Y102" s="136"/>
      <c r="Z102" s="136"/>
      <c r="AA102" s="136"/>
      <c r="AB102" s="136"/>
      <c r="AC102" s="136"/>
      <c r="AD102" s="136"/>
      <c r="AE102" s="145">
        <f t="shared" si="20"/>
        <v>963</v>
      </c>
      <c r="AF102" s="272" t="s">
        <v>1798</v>
      </c>
      <c r="AG102" s="136"/>
    </row>
    <row r="103" spans="1:33" ht="18.75" customHeight="1" x14ac:dyDescent="0.3">
      <c r="A103" s="281">
        <v>244003</v>
      </c>
      <c r="B103" s="136"/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>
        <v>27285</v>
      </c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45">
        <f t="shared" si="20"/>
        <v>27285</v>
      </c>
      <c r="AF103" s="272" t="s">
        <v>1799</v>
      </c>
      <c r="AG103" s="136"/>
    </row>
    <row r="104" spans="1:33" ht="18.75" customHeight="1" x14ac:dyDescent="0.3">
      <c r="A104" s="281">
        <v>244004</v>
      </c>
      <c r="B104" s="136"/>
      <c r="C104" s="136">
        <v>63439.23</v>
      </c>
      <c r="D104" s="136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O104" s="136"/>
      <c r="P104" s="136"/>
      <c r="Q104" s="136"/>
      <c r="R104" s="136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45">
        <f t="shared" si="20"/>
        <v>63439.23</v>
      </c>
      <c r="AF104" s="272" t="s">
        <v>1803</v>
      </c>
      <c r="AG104" s="136"/>
    </row>
    <row r="105" spans="1:33" ht="18.75" customHeight="1" x14ac:dyDescent="0.3">
      <c r="A105" s="281">
        <v>244006</v>
      </c>
      <c r="B105" s="136"/>
      <c r="C105" s="136"/>
      <c r="D105" s="136"/>
      <c r="E105" s="136"/>
      <c r="F105" s="136"/>
      <c r="G105" s="136"/>
      <c r="H105" s="136"/>
      <c r="I105" s="136">
        <v>1050</v>
      </c>
      <c r="J105" s="136"/>
      <c r="K105" s="136"/>
      <c r="L105" s="136"/>
      <c r="M105" s="136"/>
      <c r="N105" s="136"/>
      <c r="O105" s="136"/>
      <c r="P105" s="136"/>
      <c r="Q105" s="136"/>
      <c r="R105" s="136"/>
      <c r="S105" s="136"/>
      <c r="T105" s="136"/>
      <c r="U105" s="136"/>
      <c r="V105" s="136"/>
      <c r="W105" s="136"/>
      <c r="X105" s="136"/>
      <c r="Y105" s="136"/>
      <c r="Z105" s="136"/>
      <c r="AA105" s="136"/>
      <c r="AB105" s="136"/>
      <c r="AC105" s="136"/>
      <c r="AD105" s="136"/>
      <c r="AE105" s="145">
        <f t="shared" si="20"/>
        <v>1050</v>
      </c>
      <c r="AF105" s="272" t="s">
        <v>1810</v>
      </c>
      <c r="AG105" s="136"/>
    </row>
    <row r="106" spans="1:33" ht="18.75" customHeight="1" x14ac:dyDescent="0.3">
      <c r="A106" s="281">
        <v>244006</v>
      </c>
      <c r="B106" s="136"/>
      <c r="C106" s="136"/>
      <c r="D106" s="136"/>
      <c r="E106" s="136"/>
      <c r="F106" s="136"/>
      <c r="G106" s="136"/>
      <c r="H106" s="136"/>
      <c r="I106" s="136"/>
      <c r="J106" s="136"/>
      <c r="K106" s="136"/>
      <c r="L106" s="136"/>
      <c r="M106" s="136">
        <v>1400</v>
      </c>
      <c r="N106" s="136"/>
      <c r="O106" s="136"/>
      <c r="P106" s="136"/>
      <c r="Q106" s="136"/>
      <c r="R106" s="136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45">
        <f t="shared" si="20"/>
        <v>1400</v>
      </c>
      <c r="AF106" s="272" t="s">
        <v>1811</v>
      </c>
      <c r="AG106" s="136"/>
    </row>
    <row r="107" spans="1:33" ht="18.75" customHeight="1" x14ac:dyDescent="0.3">
      <c r="A107" s="281">
        <v>244006</v>
      </c>
      <c r="B107" s="136"/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  <c r="M107" s="136">
        <v>820</v>
      </c>
      <c r="N107" s="136"/>
      <c r="O107" s="136"/>
      <c r="P107" s="136"/>
      <c r="Q107" s="136"/>
      <c r="R107" s="136"/>
      <c r="S107" s="136"/>
      <c r="T107" s="136"/>
      <c r="U107" s="136"/>
      <c r="V107" s="136"/>
      <c r="W107" s="136"/>
      <c r="X107" s="136"/>
      <c r="Y107" s="136"/>
      <c r="Z107" s="136"/>
      <c r="AA107" s="136"/>
      <c r="AB107" s="136"/>
      <c r="AC107" s="136"/>
      <c r="AD107" s="136"/>
      <c r="AE107" s="145">
        <f t="shared" si="20"/>
        <v>820</v>
      </c>
      <c r="AF107" s="272" t="s">
        <v>1812</v>
      </c>
      <c r="AG107" s="136"/>
    </row>
    <row r="108" spans="1:33" ht="18.75" customHeight="1" x14ac:dyDescent="0.3">
      <c r="A108" s="281">
        <v>244007</v>
      </c>
      <c r="B108" s="136"/>
      <c r="C108" s="136"/>
      <c r="D108" s="136"/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6"/>
      <c r="W108" s="136"/>
      <c r="X108" s="136">
        <v>75836.25</v>
      </c>
      <c r="Y108" s="136"/>
      <c r="Z108" s="136"/>
      <c r="AA108" s="136"/>
      <c r="AB108" s="136"/>
      <c r="AC108" s="136"/>
      <c r="AD108" s="136"/>
      <c r="AE108" s="145">
        <f t="shared" si="20"/>
        <v>75836.25</v>
      </c>
      <c r="AF108" s="272" t="s">
        <v>1819</v>
      </c>
      <c r="AG108" s="138"/>
    </row>
    <row r="109" spans="1:33" ht="18.75" customHeight="1" x14ac:dyDescent="0.3">
      <c r="A109" s="281">
        <v>244010</v>
      </c>
      <c r="B109" s="136"/>
      <c r="C109" s="136"/>
      <c r="D109" s="136"/>
      <c r="E109" s="136"/>
      <c r="F109" s="136"/>
      <c r="G109" s="136"/>
      <c r="H109" s="136"/>
      <c r="I109" s="136"/>
      <c r="J109" s="136"/>
      <c r="K109" s="136"/>
      <c r="L109" s="136"/>
      <c r="M109" s="136"/>
      <c r="N109" s="136"/>
      <c r="O109" s="136"/>
      <c r="P109" s="136"/>
      <c r="Q109" s="136"/>
      <c r="R109" s="136"/>
      <c r="S109" s="136"/>
      <c r="T109" s="136"/>
      <c r="U109" s="136">
        <v>135000</v>
      </c>
      <c r="V109" s="136"/>
      <c r="W109" s="136"/>
      <c r="X109" s="136"/>
      <c r="Y109" s="136"/>
      <c r="Z109" s="136"/>
      <c r="AA109" s="136"/>
      <c r="AB109" s="136"/>
      <c r="AC109" s="136"/>
      <c r="AD109" s="136"/>
      <c r="AE109" s="145">
        <f t="shared" si="20"/>
        <v>135000</v>
      </c>
      <c r="AF109" s="272" t="s">
        <v>1825</v>
      </c>
      <c r="AG109" s="138"/>
    </row>
    <row r="110" spans="1:33" ht="18.75" customHeight="1" x14ac:dyDescent="0.3">
      <c r="A110" s="281">
        <v>244010</v>
      </c>
      <c r="B110" s="136"/>
      <c r="C110" s="136"/>
      <c r="D110" s="136"/>
      <c r="E110" s="136"/>
      <c r="F110" s="136"/>
      <c r="G110" s="136"/>
      <c r="H110" s="136"/>
      <c r="I110" s="136"/>
      <c r="J110" s="136"/>
      <c r="K110" s="136"/>
      <c r="L110" s="136"/>
      <c r="M110" s="136"/>
      <c r="N110" s="136"/>
      <c r="O110" s="136"/>
      <c r="P110" s="136"/>
      <c r="Q110" s="136"/>
      <c r="R110" s="136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6">
        <v>13800</v>
      </c>
      <c r="AD110" s="136"/>
      <c r="AE110" s="145">
        <f t="shared" si="20"/>
        <v>13800</v>
      </c>
      <c r="AF110" s="272" t="s">
        <v>1826</v>
      </c>
      <c r="AG110" s="136"/>
    </row>
    <row r="111" spans="1:33" ht="18.75" customHeight="1" x14ac:dyDescent="0.3">
      <c r="A111" s="281">
        <v>244010</v>
      </c>
      <c r="B111" s="136"/>
      <c r="C111" s="136"/>
      <c r="D111" s="136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>
        <v>53499</v>
      </c>
      <c r="R111" s="136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45">
        <f t="shared" si="20"/>
        <v>53499</v>
      </c>
      <c r="AF111" s="272" t="s">
        <v>1827</v>
      </c>
      <c r="AG111" s="136"/>
    </row>
    <row r="112" spans="1:33" ht="18.75" customHeight="1" x14ac:dyDescent="0.3">
      <c r="A112" s="281">
        <v>244010</v>
      </c>
      <c r="B112" s="136"/>
      <c r="C112" s="136"/>
      <c r="D112" s="136"/>
      <c r="E112" s="136"/>
      <c r="F112" s="136"/>
      <c r="G112" s="136"/>
      <c r="H112" s="136"/>
      <c r="I112" s="136"/>
      <c r="J112" s="136"/>
      <c r="K112" s="136"/>
      <c r="L112" s="136"/>
      <c r="M112" s="136"/>
      <c r="N112" s="136"/>
      <c r="O112" s="136"/>
      <c r="P112" s="136"/>
      <c r="Q112" s="136"/>
      <c r="R112" s="136"/>
      <c r="S112" s="136"/>
      <c r="T112" s="136"/>
      <c r="U112" s="136"/>
      <c r="V112" s="136"/>
      <c r="W112" s="136">
        <v>24824</v>
      </c>
      <c r="X112" s="136"/>
      <c r="Y112" s="136"/>
      <c r="Z112" s="136"/>
      <c r="AA112" s="136"/>
      <c r="AB112" s="136"/>
      <c r="AC112" s="136"/>
      <c r="AD112" s="136"/>
      <c r="AE112" s="145">
        <f t="shared" si="20"/>
        <v>24824</v>
      </c>
      <c r="AF112" s="272" t="s">
        <v>1828</v>
      </c>
      <c r="AG112" s="138"/>
    </row>
    <row r="113" spans="1:33" ht="18.75" customHeight="1" x14ac:dyDescent="0.3">
      <c r="A113" s="281">
        <v>244011</v>
      </c>
      <c r="B113" s="136"/>
      <c r="C113" s="136"/>
      <c r="D113" s="136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  <c r="O113" s="136"/>
      <c r="P113" s="136"/>
      <c r="Q113" s="136"/>
      <c r="R113" s="136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>
        <v>90000</v>
      </c>
      <c r="AD113" s="136"/>
      <c r="AE113" s="145">
        <f t="shared" si="20"/>
        <v>90000</v>
      </c>
      <c r="AF113" s="272" t="s">
        <v>1830</v>
      </c>
      <c r="AG113" s="136"/>
    </row>
    <row r="114" spans="1:33" ht="18.75" customHeight="1" x14ac:dyDescent="0.3">
      <c r="A114" s="281">
        <v>244013</v>
      </c>
      <c r="B114" s="136">
        <v>3167.2</v>
      </c>
      <c r="C114" s="136"/>
      <c r="D114" s="136"/>
      <c r="E114" s="136"/>
      <c r="F114" s="136"/>
      <c r="G114" s="136"/>
      <c r="H114" s="136"/>
      <c r="I114" s="136"/>
      <c r="J114" s="136"/>
      <c r="K114" s="136"/>
      <c r="L114" s="136"/>
      <c r="M114" s="136"/>
      <c r="N114" s="136"/>
      <c r="O114" s="136"/>
      <c r="P114" s="136"/>
      <c r="Q114" s="136"/>
      <c r="R114" s="136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  <c r="AE114" s="145">
        <f t="shared" si="20"/>
        <v>3167.2</v>
      </c>
      <c r="AF114" s="272" t="s">
        <v>1831</v>
      </c>
      <c r="AG114" s="136"/>
    </row>
    <row r="115" spans="1:33" ht="18.75" customHeight="1" x14ac:dyDescent="0.3">
      <c r="A115" s="281">
        <v>244013</v>
      </c>
      <c r="B115" s="136"/>
      <c r="C115" s="136"/>
      <c r="D115" s="136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  <c r="V115" s="136"/>
      <c r="W115" s="136"/>
      <c r="X115" s="136"/>
      <c r="Y115" s="136"/>
      <c r="Z115" s="136"/>
      <c r="AA115" s="136"/>
      <c r="AB115" s="136">
        <v>27760.080000000002</v>
      </c>
      <c r="AC115" s="136"/>
      <c r="AD115" s="136"/>
      <c r="AE115" s="145">
        <f t="shared" si="20"/>
        <v>27760.080000000002</v>
      </c>
      <c r="AF115" s="272" t="s">
        <v>1832</v>
      </c>
      <c r="AG115" s="136"/>
    </row>
    <row r="116" spans="1:33" ht="18.75" customHeight="1" x14ac:dyDescent="0.3">
      <c r="A116" s="281"/>
      <c r="B116" s="136"/>
      <c r="C116" s="136"/>
      <c r="D116" s="136"/>
      <c r="E116" s="136"/>
      <c r="F116" s="136"/>
      <c r="G116" s="136"/>
      <c r="H116" s="136"/>
      <c r="I116" s="136"/>
      <c r="J116" s="136"/>
      <c r="K116" s="136"/>
      <c r="L116" s="136"/>
      <c r="M116" s="136"/>
      <c r="N116" s="136"/>
      <c r="O116" s="136"/>
      <c r="P116" s="136"/>
      <c r="Q116" s="136"/>
      <c r="R116" s="136"/>
      <c r="S116" s="136"/>
      <c r="T116" s="136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45">
        <f t="shared" si="20"/>
        <v>0</v>
      </c>
      <c r="AF116" s="272" t="s">
        <v>1799</v>
      </c>
      <c r="AG116" s="136"/>
    </row>
    <row r="117" spans="1:33" ht="18.75" customHeight="1" x14ac:dyDescent="0.3">
      <c r="A117" s="281"/>
      <c r="B117" s="136"/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  <c r="M117" s="136"/>
      <c r="N117" s="136"/>
      <c r="O117" s="136"/>
      <c r="P117" s="136"/>
      <c r="Q117" s="136"/>
      <c r="R117" s="136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45">
        <f t="shared" si="20"/>
        <v>0</v>
      </c>
      <c r="AF117" s="272" t="s">
        <v>1799</v>
      </c>
      <c r="AG117" s="136"/>
    </row>
    <row r="118" spans="1:33" ht="18.75" customHeight="1" x14ac:dyDescent="0.3">
      <c r="A118" s="281"/>
      <c r="B118" s="136"/>
      <c r="C118" s="136"/>
      <c r="D118" s="136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45">
        <f t="shared" ref="AE118:AE125" si="21">SUM(B118:AD118)</f>
        <v>0</v>
      </c>
      <c r="AF118" s="272" t="s">
        <v>1799</v>
      </c>
      <c r="AG118" s="136"/>
    </row>
    <row r="119" spans="1:33" ht="18.75" customHeight="1" x14ac:dyDescent="0.3">
      <c r="A119" s="281"/>
      <c r="B119" s="136"/>
      <c r="C119" s="136"/>
      <c r="D119" s="136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  <c r="O119" s="136"/>
      <c r="P119" s="136"/>
      <c r="Q119" s="136"/>
      <c r="R119" s="136"/>
      <c r="S119" s="136"/>
      <c r="T119" s="136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45">
        <f t="shared" si="21"/>
        <v>0</v>
      </c>
      <c r="AF119" s="272" t="s">
        <v>1799</v>
      </c>
      <c r="AG119" s="136"/>
    </row>
    <row r="120" spans="1:33" ht="18.75" customHeight="1" x14ac:dyDescent="0.3">
      <c r="A120" s="281"/>
      <c r="B120" s="136"/>
      <c r="C120" s="136"/>
      <c r="D120" s="136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  <c r="O120" s="136"/>
      <c r="P120" s="136"/>
      <c r="Q120" s="136"/>
      <c r="R120" s="136"/>
      <c r="S120" s="136"/>
      <c r="T120" s="136"/>
      <c r="U120" s="136"/>
      <c r="V120" s="136"/>
      <c r="W120" s="136"/>
      <c r="X120" s="136"/>
      <c r="Y120" s="136"/>
      <c r="Z120" s="136"/>
      <c r="AA120" s="136"/>
      <c r="AB120" s="136"/>
      <c r="AC120" s="136"/>
      <c r="AD120" s="136"/>
      <c r="AE120" s="145">
        <f t="shared" si="21"/>
        <v>0</v>
      </c>
      <c r="AF120" s="272" t="s">
        <v>1799</v>
      </c>
      <c r="AG120" s="136"/>
    </row>
    <row r="121" spans="1:33" ht="18.75" customHeight="1" x14ac:dyDescent="0.3">
      <c r="A121" s="281"/>
      <c r="B121" s="136"/>
      <c r="C121" s="136"/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36"/>
      <c r="S121" s="136"/>
      <c r="T121" s="136"/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  <c r="AE121" s="145">
        <f t="shared" si="21"/>
        <v>0</v>
      </c>
      <c r="AF121" s="272"/>
      <c r="AG121" s="136"/>
    </row>
    <row r="122" spans="1:33" ht="18.75" customHeight="1" x14ac:dyDescent="0.3">
      <c r="A122" s="281"/>
      <c r="B122" s="136"/>
      <c r="C122" s="136"/>
      <c r="D122" s="136"/>
      <c r="E122" s="136"/>
      <c r="F122" s="136"/>
      <c r="G122" s="136"/>
      <c r="H122" s="136"/>
      <c r="I122" s="136"/>
      <c r="J122" s="136"/>
      <c r="K122" s="136"/>
      <c r="L122" s="136"/>
      <c r="M122" s="136"/>
      <c r="N122" s="136"/>
      <c r="O122" s="136"/>
      <c r="P122" s="136"/>
      <c r="Q122" s="136"/>
      <c r="R122" s="136"/>
      <c r="S122" s="136"/>
      <c r="T122" s="136"/>
      <c r="U122" s="136"/>
      <c r="V122" s="136"/>
      <c r="W122" s="136"/>
      <c r="X122" s="136"/>
      <c r="Y122" s="136"/>
      <c r="Z122" s="136"/>
      <c r="AA122" s="136"/>
      <c r="AB122" s="136"/>
      <c r="AC122" s="136"/>
      <c r="AD122" s="136"/>
      <c r="AE122" s="145">
        <f t="shared" si="21"/>
        <v>0</v>
      </c>
      <c r="AF122" s="272"/>
      <c r="AG122" s="136"/>
    </row>
    <row r="123" spans="1:33" ht="18.75" customHeight="1" x14ac:dyDescent="0.3">
      <c r="A123" s="287" t="s">
        <v>225</v>
      </c>
      <c r="B123" s="279">
        <f t="shared" ref="B123:AD123" si="22">SUM(B80:B122)</f>
        <v>34635.199999999997</v>
      </c>
      <c r="C123" s="279">
        <f t="shared" si="22"/>
        <v>63439.23</v>
      </c>
      <c r="D123" s="279">
        <f t="shared" si="22"/>
        <v>0</v>
      </c>
      <c r="E123" s="279">
        <f t="shared" si="22"/>
        <v>0</v>
      </c>
      <c r="F123" s="279">
        <f t="shared" si="22"/>
        <v>0</v>
      </c>
      <c r="G123" s="279">
        <f t="shared" si="22"/>
        <v>0</v>
      </c>
      <c r="H123" s="279">
        <f t="shared" si="22"/>
        <v>0</v>
      </c>
      <c r="I123" s="279">
        <f t="shared" si="22"/>
        <v>19425</v>
      </c>
      <c r="J123" s="279">
        <f t="shared" si="22"/>
        <v>0</v>
      </c>
      <c r="K123" s="279">
        <f t="shared" si="22"/>
        <v>0</v>
      </c>
      <c r="L123" s="279">
        <f t="shared" si="22"/>
        <v>55717</v>
      </c>
      <c r="M123" s="279">
        <f t="shared" si="22"/>
        <v>10510</v>
      </c>
      <c r="N123" s="279">
        <f t="shared" si="22"/>
        <v>0</v>
      </c>
      <c r="O123" s="279">
        <f t="shared" si="22"/>
        <v>0</v>
      </c>
      <c r="P123" s="279">
        <f t="shared" si="22"/>
        <v>0</v>
      </c>
      <c r="Q123" s="279">
        <f t="shared" si="22"/>
        <v>53499</v>
      </c>
      <c r="R123" s="279">
        <f t="shared" si="22"/>
        <v>27285</v>
      </c>
      <c r="S123" s="279">
        <f t="shared" si="22"/>
        <v>0</v>
      </c>
      <c r="T123" s="279">
        <f t="shared" si="22"/>
        <v>0</v>
      </c>
      <c r="U123" s="279">
        <f t="shared" si="22"/>
        <v>270000</v>
      </c>
      <c r="V123" s="279">
        <f t="shared" si="22"/>
        <v>0</v>
      </c>
      <c r="W123" s="279">
        <f t="shared" si="22"/>
        <v>24824</v>
      </c>
      <c r="X123" s="279">
        <f t="shared" si="22"/>
        <v>75836.25</v>
      </c>
      <c r="Y123" s="279">
        <f t="shared" si="22"/>
        <v>0</v>
      </c>
      <c r="Z123" s="279">
        <f t="shared" ref="Z123:AA123" si="23">SUM(Z80:Z122)</f>
        <v>0</v>
      </c>
      <c r="AA123" s="279">
        <f t="shared" si="23"/>
        <v>0</v>
      </c>
      <c r="AB123" s="279">
        <f t="shared" si="22"/>
        <v>55520.160000000003</v>
      </c>
      <c r="AC123" s="279">
        <f t="shared" si="22"/>
        <v>117860.70999999999</v>
      </c>
      <c r="AD123" s="279">
        <f t="shared" si="22"/>
        <v>0</v>
      </c>
      <c r="AE123" s="280">
        <f t="shared" si="21"/>
        <v>808551.54999999993</v>
      </c>
      <c r="AF123" s="339"/>
      <c r="AG123" s="340"/>
    </row>
    <row r="124" spans="1:33" ht="18.75" customHeight="1" x14ac:dyDescent="0.3">
      <c r="A124" s="287" t="s">
        <v>226</v>
      </c>
      <c r="B124" s="279">
        <f t="shared" ref="B124:AD124" si="24">SUM(B78+B123)</f>
        <v>51061.2</v>
      </c>
      <c r="C124" s="279">
        <f t="shared" si="24"/>
        <v>104149.33</v>
      </c>
      <c r="D124" s="279">
        <f t="shared" si="24"/>
        <v>3500</v>
      </c>
      <c r="E124" s="279">
        <f t="shared" si="24"/>
        <v>0</v>
      </c>
      <c r="F124" s="279">
        <f t="shared" si="24"/>
        <v>0</v>
      </c>
      <c r="G124" s="279">
        <f t="shared" si="24"/>
        <v>2600</v>
      </c>
      <c r="H124" s="279">
        <f t="shared" si="24"/>
        <v>0</v>
      </c>
      <c r="I124" s="279">
        <f t="shared" si="24"/>
        <v>49458</v>
      </c>
      <c r="J124" s="279">
        <f t="shared" si="24"/>
        <v>320434.92000000004</v>
      </c>
      <c r="K124" s="279">
        <f t="shared" si="24"/>
        <v>15200</v>
      </c>
      <c r="L124" s="279">
        <f t="shared" si="24"/>
        <v>66867</v>
      </c>
      <c r="M124" s="279">
        <f t="shared" si="24"/>
        <v>41505</v>
      </c>
      <c r="N124" s="279">
        <f t="shared" si="24"/>
        <v>0</v>
      </c>
      <c r="O124" s="279">
        <f t="shared" si="24"/>
        <v>0</v>
      </c>
      <c r="P124" s="279">
        <f t="shared" si="24"/>
        <v>0</v>
      </c>
      <c r="Q124" s="279">
        <f t="shared" si="24"/>
        <v>53499</v>
      </c>
      <c r="R124" s="279">
        <f t="shared" si="24"/>
        <v>27285</v>
      </c>
      <c r="S124" s="279">
        <f t="shared" si="24"/>
        <v>0</v>
      </c>
      <c r="T124" s="279">
        <f t="shared" si="24"/>
        <v>39162</v>
      </c>
      <c r="U124" s="279">
        <f t="shared" si="24"/>
        <v>270000</v>
      </c>
      <c r="V124" s="279">
        <f t="shared" si="24"/>
        <v>0</v>
      </c>
      <c r="W124" s="279">
        <f t="shared" si="24"/>
        <v>24824</v>
      </c>
      <c r="X124" s="279">
        <f t="shared" si="24"/>
        <v>75836.25</v>
      </c>
      <c r="Y124" s="279">
        <f t="shared" si="24"/>
        <v>0</v>
      </c>
      <c r="Z124" s="279">
        <f t="shared" ref="Z124:AA124" si="25">SUM(Z78+Z123)</f>
        <v>0</v>
      </c>
      <c r="AA124" s="279">
        <f t="shared" si="25"/>
        <v>0</v>
      </c>
      <c r="AB124" s="279">
        <f t="shared" si="24"/>
        <v>83280.240000000005</v>
      </c>
      <c r="AC124" s="279">
        <f t="shared" si="24"/>
        <v>131660.71</v>
      </c>
      <c r="AD124" s="279">
        <f t="shared" si="24"/>
        <v>0</v>
      </c>
      <c r="AE124" s="280">
        <f t="shared" si="21"/>
        <v>1360322.6500000001</v>
      </c>
      <c r="AF124" s="308"/>
      <c r="AG124" s="195"/>
    </row>
    <row r="125" spans="1:33" ht="18.75" customHeight="1" x14ac:dyDescent="0.3">
      <c r="A125" s="287" t="s">
        <v>227</v>
      </c>
      <c r="B125" s="279">
        <f t="shared" ref="B125:AD125" si="26">SUM(B79-B123)</f>
        <v>515738.8</v>
      </c>
      <c r="C125" s="279">
        <f t="shared" si="26"/>
        <v>45850.669999999991</v>
      </c>
      <c r="D125" s="279">
        <f t="shared" si="26"/>
        <v>324500</v>
      </c>
      <c r="E125" s="279">
        <f t="shared" si="26"/>
        <v>0</v>
      </c>
      <c r="F125" s="279">
        <f t="shared" si="26"/>
        <v>0</v>
      </c>
      <c r="G125" s="279">
        <f t="shared" si="26"/>
        <v>-2600</v>
      </c>
      <c r="H125" s="279">
        <f t="shared" si="26"/>
        <v>0</v>
      </c>
      <c r="I125" s="279">
        <f t="shared" si="26"/>
        <v>198442</v>
      </c>
      <c r="J125" s="279">
        <f t="shared" si="26"/>
        <v>-320434.92000000004</v>
      </c>
      <c r="K125" s="279">
        <f t="shared" si="26"/>
        <v>-15200</v>
      </c>
      <c r="L125" s="279">
        <f t="shared" si="26"/>
        <v>183133</v>
      </c>
      <c r="M125" s="279">
        <f t="shared" si="26"/>
        <v>98495</v>
      </c>
      <c r="N125" s="279">
        <f t="shared" si="26"/>
        <v>0</v>
      </c>
      <c r="O125" s="279">
        <f t="shared" si="26"/>
        <v>0</v>
      </c>
      <c r="P125" s="279">
        <f t="shared" si="26"/>
        <v>0</v>
      </c>
      <c r="Q125" s="279">
        <f t="shared" si="26"/>
        <v>160501</v>
      </c>
      <c r="R125" s="279">
        <f t="shared" si="26"/>
        <v>361660</v>
      </c>
      <c r="S125" s="279">
        <f t="shared" si="26"/>
        <v>74900</v>
      </c>
      <c r="T125" s="279">
        <f t="shared" si="26"/>
        <v>1154497</v>
      </c>
      <c r="U125" s="279">
        <f t="shared" si="26"/>
        <v>1234800</v>
      </c>
      <c r="V125" s="279">
        <f t="shared" si="26"/>
        <v>189600</v>
      </c>
      <c r="W125" s="279">
        <f t="shared" si="26"/>
        <v>74472</v>
      </c>
      <c r="X125" s="279">
        <f t="shared" si="26"/>
        <v>84163.75</v>
      </c>
      <c r="Y125" s="279">
        <f t="shared" si="26"/>
        <v>8500000</v>
      </c>
      <c r="Z125" s="279">
        <f t="shared" ref="Z125:AA125" si="27">SUM(Z79-Z123)</f>
        <v>716400</v>
      </c>
      <c r="AA125" s="279">
        <f t="shared" si="27"/>
        <v>1113800</v>
      </c>
      <c r="AB125" s="279">
        <f t="shared" si="26"/>
        <v>91519.75999999998</v>
      </c>
      <c r="AC125" s="279">
        <f t="shared" si="26"/>
        <v>66339.290000000008</v>
      </c>
      <c r="AD125" s="279">
        <f t="shared" si="26"/>
        <v>0</v>
      </c>
      <c r="AE125" s="280">
        <f t="shared" si="21"/>
        <v>14850577.35</v>
      </c>
      <c r="AF125" s="308"/>
      <c r="AG125" s="195"/>
    </row>
    <row r="126" spans="1:33" ht="18.75" customHeight="1" x14ac:dyDescent="0.3">
      <c r="A126" s="284" t="s">
        <v>228</v>
      </c>
      <c r="B126" s="136"/>
      <c r="C126" s="136"/>
      <c r="D126" s="136"/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  <c r="O126" s="136"/>
      <c r="P126" s="136"/>
      <c r="Q126" s="136"/>
      <c r="R126" s="136"/>
      <c r="S126" s="136"/>
      <c r="T126" s="136"/>
      <c r="U126" s="136"/>
      <c r="V126" s="136"/>
      <c r="W126" s="136"/>
      <c r="X126" s="136"/>
      <c r="Y126" s="136"/>
      <c r="Z126" s="136"/>
      <c r="AA126" s="136"/>
      <c r="AB126" s="136"/>
      <c r="AC126" s="136"/>
      <c r="AD126" s="136"/>
      <c r="AE126" s="313"/>
      <c r="AF126" s="272"/>
      <c r="AG126" s="136"/>
    </row>
    <row r="127" spans="1:33" ht="18.75" customHeight="1" x14ac:dyDescent="0.3">
      <c r="A127" s="327">
        <v>45323</v>
      </c>
      <c r="B127" s="136"/>
      <c r="C127" s="136"/>
      <c r="D127" s="136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313">
        <f t="shared" ref="AE127:AE158" si="28">SUM(B127:AD127)</f>
        <v>0</v>
      </c>
      <c r="AF127" s="315" t="s">
        <v>312</v>
      </c>
      <c r="AG127" s="136"/>
    </row>
    <row r="128" spans="1:33" ht="18.75" customHeight="1" x14ac:dyDescent="0.3">
      <c r="A128" s="327">
        <v>45323</v>
      </c>
      <c r="B128" s="136"/>
      <c r="C128" s="136"/>
      <c r="D128" s="136"/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  <c r="O128" s="136"/>
      <c r="P128" s="136"/>
      <c r="Q128" s="136"/>
      <c r="R128" s="136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313">
        <f t="shared" si="28"/>
        <v>0</v>
      </c>
      <c r="AF128" s="315" t="s">
        <v>311</v>
      </c>
      <c r="AG128" s="136"/>
    </row>
    <row r="129" spans="1:33" ht="18.75" customHeight="1" x14ac:dyDescent="0.3">
      <c r="A129" s="327">
        <v>45323</v>
      </c>
      <c r="B129" s="136"/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O129" s="136"/>
      <c r="P129" s="136"/>
      <c r="Q129" s="136"/>
      <c r="R129" s="136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313">
        <f t="shared" si="28"/>
        <v>0</v>
      </c>
      <c r="AF129" s="315" t="s">
        <v>466</v>
      </c>
      <c r="AG129" s="136"/>
    </row>
    <row r="130" spans="1:33" ht="18.75" customHeight="1" x14ac:dyDescent="0.3">
      <c r="A130" s="327">
        <v>45323</v>
      </c>
      <c r="B130" s="136"/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  <c r="O130" s="136"/>
      <c r="P130" s="136"/>
      <c r="Q130" s="136"/>
      <c r="R130" s="136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313">
        <f t="shared" si="28"/>
        <v>0</v>
      </c>
      <c r="AF130" s="315" t="s">
        <v>310</v>
      </c>
      <c r="AG130" s="136"/>
    </row>
    <row r="131" spans="1:33" ht="18.75" customHeight="1" x14ac:dyDescent="0.3">
      <c r="A131" s="327">
        <v>45324</v>
      </c>
      <c r="B131" s="136"/>
      <c r="C131" s="136"/>
      <c r="D131" s="136"/>
      <c r="E131" s="136"/>
      <c r="F131" s="136"/>
      <c r="G131" s="136"/>
      <c r="H131" s="136"/>
      <c r="I131" s="136"/>
      <c r="J131" s="136"/>
      <c r="K131" s="136"/>
      <c r="L131" s="136"/>
      <c r="M131" s="136"/>
      <c r="N131" s="136"/>
      <c r="O131" s="136"/>
      <c r="P131" s="136"/>
      <c r="Q131" s="136"/>
      <c r="R131" s="136"/>
      <c r="S131" s="136"/>
      <c r="T131" s="136"/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  <c r="AE131" s="313">
        <f t="shared" si="28"/>
        <v>0</v>
      </c>
      <c r="AF131" s="315" t="s">
        <v>467</v>
      </c>
      <c r="AG131" s="136"/>
    </row>
    <row r="132" spans="1:33" ht="18.75" customHeight="1" x14ac:dyDescent="0.3">
      <c r="A132" s="327">
        <v>45324</v>
      </c>
      <c r="B132" s="136"/>
      <c r="C132" s="136"/>
      <c r="D132" s="136"/>
      <c r="E132" s="136"/>
      <c r="F132" s="136"/>
      <c r="G132" s="136"/>
      <c r="H132" s="136"/>
      <c r="I132" s="136"/>
      <c r="J132" s="136"/>
      <c r="K132" s="136"/>
      <c r="L132" s="136"/>
      <c r="M132" s="136"/>
      <c r="N132" s="136"/>
      <c r="O132" s="136"/>
      <c r="P132" s="136"/>
      <c r="Q132" s="136"/>
      <c r="R132" s="136"/>
      <c r="S132" s="136"/>
      <c r="T132" s="136"/>
      <c r="U132" s="136"/>
      <c r="V132" s="136"/>
      <c r="W132" s="136"/>
      <c r="X132" s="136"/>
      <c r="Y132" s="136"/>
      <c r="Z132" s="136"/>
      <c r="AA132" s="136"/>
      <c r="AB132" s="136"/>
      <c r="AC132" s="136"/>
      <c r="AD132" s="136"/>
      <c r="AE132" s="313">
        <f t="shared" si="28"/>
        <v>0</v>
      </c>
      <c r="AF132" s="315" t="s">
        <v>468</v>
      </c>
      <c r="AG132" s="136"/>
    </row>
    <row r="133" spans="1:33" ht="18.75" customHeight="1" x14ac:dyDescent="0.3">
      <c r="A133" s="327">
        <v>45324</v>
      </c>
      <c r="B133" s="136"/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  <c r="S133" s="136"/>
      <c r="T133" s="136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313">
        <f t="shared" si="28"/>
        <v>0</v>
      </c>
      <c r="AF133" s="343" t="s">
        <v>469</v>
      </c>
      <c r="AG133" s="138"/>
    </row>
    <row r="134" spans="1:33" ht="18.75" customHeight="1" x14ac:dyDescent="0.3">
      <c r="A134" s="327">
        <v>45324</v>
      </c>
      <c r="B134" s="136"/>
      <c r="C134" s="136"/>
      <c r="D134" s="136"/>
      <c r="E134" s="136"/>
      <c r="F134" s="136"/>
      <c r="G134" s="136"/>
      <c r="H134" s="136"/>
      <c r="I134" s="136"/>
      <c r="J134" s="136"/>
      <c r="K134" s="136"/>
      <c r="L134" s="136"/>
      <c r="M134" s="136"/>
      <c r="N134" s="136"/>
      <c r="O134" s="136"/>
      <c r="P134" s="136"/>
      <c r="Q134" s="136"/>
      <c r="R134" s="136"/>
      <c r="S134" s="136"/>
      <c r="T134" s="136"/>
      <c r="U134" s="136"/>
      <c r="V134" s="136"/>
      <c r="W134" s="136"/>
      <c r="X134" s="136"/>
      <c r="Y134" s="136"/>
      <c r="Z134" s="136"/>
      <c r="AA134" s="136"/>
      <c r="AB134" s="136"/>
      <c r="AC134" s="136"/>
      <c r="AD134" s="136"/>
      <c r="AE134" s="313">
        <f t="shared" si="28"/>
        <v>0</v>
      </c>
      <c r="AF134" s="343" t="s">
        <v>470</v>
      </c>
      <c r="AG134" s="138"/>
    </row>
    <row r="135" spans="1:33" ht="18.75" customHeight="1" x14ac:dyDescent="0.3">
      <c r="A135" s="327">
        <v>45324</v>
      </c>
      <c r="B135" s="136"/>
      <c r="C135" s="136"/>
      <c r="D135" s="136"/>
      <c r="E135" s="136"/>
      <c r="F135" s="136"/>
      <c r="G135" s="136"/>
      <c r="H135" s="136"/>
      <c r="I135" s="136"/>
      <c r="J135" s="136"/>
      <c r="K135" s="136"/>
      <c r="L135" s="136"/>
      <c r="M135" s="136"/>
      <c r="N135" s="136"/>
      <c r="O135" s="136"/>
      <c r="P135" s="136"/>
      <c r="Q135" s="136"/>
      <c r="R135" s="136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313">
        <f t="shared" si="28"/>
        <v>0</v>
      </c>
      <c r="AF135" s="315" t="s">
        <v>471</v>
      </c>
      <c r="AG135" s="136"/>
    </row>
    <row r="136" spans="1:33" ht="18.75" customHeight="1" x14ac:dyDescent="0.3">
      <c r="A136" s="327">
        <v>45324</v>
      </c>
      <c r="B136" s="136"/>
      <c r="C136" s="136"/>
      <c r="D136" s="136"/>
      <c r="E136" s="136"/>
      <c r="F136" s="136"/>
      <c r="G136" s="136"/>
      <c r="H136" s="136"/>
      <c r="I136" s="136"/>
      <c r="J136" s="136"/>
      <c r="K136" s="136"/>
      <c r="L136" s="136"/>
      <c r="M136" s="136"/>
      <c r="N136" s="136"/>
      <c r="O136" s="136"/>
      <c r="P136" s="136"/>
      <c r="Q136" s="136"/>
      <c r="R136" s="136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313">
        <f t="shared" si="28"/>
        <v>0</v>
      </c>
      <c r="AF136" s="315" t="s">
        <v>472</v>
      </c>
      <c r="AG136" s="136"/>
    </row>
    <row r="137" spans="1:33" ht="18.75" customHeight="1" x14ac:dyDescent="0.3">
      <c r="A137" s="327">
        <v>45324</v>
      </c>
      <c r="B137" s="136"/>
      <c r="C137" s="136"/>
      <c r="D137" s="136"/>
      <c r="E137" s="136"/>
      <c r="F137" s="136"/>
      <c r="G137" s="136"/>
      <c r="H137" s="136"/>
      <c r="I137" s="136"/>
      <c r="J137" s="136"/>
      <c r="K137" s="136"/>
      <c r="L137" s="136"/>
      <c r="M137" s="136"/>
      <c r="N137" s="136"/>
      <c r="O137" s="136"/>
      <c r="P137" s="136"/>
      <c r="Q137" s="136"/>
      <c r="R137" s="136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  <c r="AE137" s="313">
        <f t="shared" si="28"/>
        <v>0</v>
      </c>
      <c r="AF137" s="315" t="s">
        <v>473</v>
      </c>
      <c r="AG137" s="136"/>
    </row>
    <row r="138" spans="1:33" ht="18.75" customHeight="1" x14ac:dyDescent="0.3">
      <c r="A138" s="327">
        <v>45327</v>
      </c>
      <c r="B138" s="136"/>
      <c r="C138" s="136"/>
      <c r="D138" s="136"/>
      <c r="E138" s="136"/>
      <c r="F138" s="136"/>
      <c r="G138" s="136"/>
      <c r="H138" s="136"/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313">
        <f t="shared" si="28"/>
        <v>0</v>
      </c>
      <c r="AF138" s="315" t="s">
        <v>474</v>
      </c>
      <c r="AG138" s="136"/>
    </row>
    <row r="139" spans="1:33" ht="18.75" customHeight="1" x14ac:dyDescent="0.3">
      <c r="A139" s="327">
        <v>45327</v>
      </c>
      <c r="B139" s="136"/>
      <c r="C139" s="136"/>
      <c r="D139" s="136"/>
      <c r="E139" s="136"/>
      <c r="F139" s="136"/>
      <c r="G139" s="136"/>
      <c r="H139" s="136"/>
      <c r="I139" s="136"/>
      <c r="J139" s="136"/>
      <c r="K139" s="136"/>
      <c r="L139" s="136"/>
      <c r="M139" s="136"/>
      <c r="N139" s="136"/>
      <c r="O139" s="136"/>
      <c r="P139" s="136"/>
      <c r="Q139" s="136"/>
      <c r="R139" s="136"/>
      <c r="S139" s="136"/>
      <c r="T139" s="136"/>
      <c r="U139" s="136"/>
      <c r="V139" s="136"/>
      <c r="W139" s="136"/>
      <c r="X139" s="136"/>
      <c r="Y139" s="136"/>
      <c r="Z139" s="136"/>
      <c r="AA139" s="136"/>
      <c r="AB139" s="136"/>
      <c r="AC139" s="136"/>
      <c r="AD139" s="136"/>
      <c r="AE139" s="313">
        <f t="shared" si="28"/>
        <v>0</v>
      </c>
      <c r="AF139" s="315" t="s">
        <v>475</v>
      </c>
      <c r="AG139" s="136"/>
    </row>
    <row r="140" spans="1:33" ht="18.75" customHeight="1" x14ac:dyDescent="0.3">
      <c r="A140" s="327">
        <v>45327</v>
      </c>
      <c r="B140" s="136"/>
      <c r="C140" s="136"/>
      <c r="D140" s="136"/>
      <c r="E140" s="136"/>
      <c r="F140" s="136"/>
      <c r="G140" s="136"/>
      <c r="H140" s="136"/>
      <c r="I140" s="136"/>
      <c r="J140" s="136"/>
      <c r="K140" s="136"/>
      <c r="L140" s="136"/>
      <c r="M140" s="136"/>
      <c r="N140" s="136"/>
      <c r="O140" s="136"/>
      <c r="P140" s="136"/>
      <c r="Q140" s="136"/>
      <c r="R140" s="136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  <c r="AE140" s="313">
        <f t="shared" si="28"/>
        <v>0</v>
      </c>
      <c r="AF140" s="315" t="s">
        <v>476</v>
      </c>
      <c r="AG140" s="136"/>
    </row>
    <row r="141" spans="1:33" ht="18.75" customHeight="1" x14ac:dyDescent="0.3">
      <c r="A141" s="327">
        <v>45327</v>
      </c>
      <c r="B141" s="136"/>
      <c r="C141" s="136"/>
      <c r="D141" s="136"/>
      <c r="E141" s="136"/>
      <c r="F141" s="136"/>
      <c r="G141" s="136"/>
      <c r="H141" s="136"/>
      <c r="I141" s="136"/>
      <c r="J141" s="136"/>
      <c r="K141" s="136"/>
      <c r="L141" s="136"/>
      <c r="M141" s="136"/>
      <c r="N141" s="136"/>
      <c r="O141" s="136"/>
      <c r="P141" s="136"/>
      <c r="Q141" s="136"/>
      <c r="R141" s="136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313">
        <f t="shared" si="28"/>
        <v>0</v>
      </c>
      <c r="AF141" s="315" t="s">
        <v>477</v>
      </c>
      <c r="AG141" s="136"/>
    </row>
    <row r="142" spans="1:33" ht="18.75" customHeight="1" x14ac:dyDescent="0.3">
      <c r="A142" s="327">
        <v>45327</v>
      </c>
      <c r="B142" s="136"/>
      <c r="C142" s="136"/>
      <c r="D142" s="136"/>
      <c r="E142" s="136"/>
      <c r="F142" s="136"/>
      <c r="G142" s="136"/>
      <c r="H142" s="136"/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313">
        <f t="shared" si="28"/>
        <v>0</v>
      </c>
      <c r="AF142" s="315" t="s">
        <v>478</v>
      </c>
      <c r="AG142" s="136"/>
    </row>
    <row r="143" spans="1:33" ht="18.75" customHeight="1" x14ac:dyDescent="0.3">
      <c r="A143" s="327">
        <v>45328</v>
      </c>
      <c r="B143" s="136"/>
      <c r="C143" s="136"/>
      <c r="D143" s="136"/>
      <c r="E143" s="136"/>
      <c r="F143" s="136"/>
      <c r="G143" s="136"/>
      <c r="H143" s="136"/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313">
        <f t="shared" si="28"/>
        <v>0</v>
      </c>
      <c r="AF143" s="315" t="s">
        <v>479</v>
      </c>
      <c r="AG143" s="136"/>
    </row>
    <row r="144" spans="1:33" ht="18.75" customHeight="1" x14ac:dyDescent="0.3">
      <c r="A144" s="327">
        <v>45329</v>
      </c>
      <c r="B144" s="136"/>
      <c r="C144" s="136"/>
      <c r="D144" s="136"/>
      <c r="E144" s="136"/>
      <c r="F144" s="136"/>
      <c r="G144" s="136"/>
      <c r="H144" s="136"/>
      <c r="I144" s="136"/>
      <c r="J144" s="136"/>
      <c r="K144" s="136"/>
      <c r="L144" s="136"/>
      <c r="M144" s="136"/>
      <c r="N144" s="136"/>
      <c r="O144" s="136"/>
      <c r="P144" s="136"/>
      <c r="Q144" s="136"/>
      <c r="R144" s="136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313">
        <f t="shared" si="28"/>
        <v>0</v>
      </c>
      <c r="AF144" s="315" t="s">
        <v>480</v>
      </c>
      <c r="AG144" s="136"/>
    </row>
    <row r="145" spans="1:33" ht="18.75" customHeight="1" x14ac:dyDescent="0.3">
      <c r="A145" s="327">
        <v>45330</v>
      </c>
      <c r="B145" s="136"/>
      <c r="C145" s="136"/>
      <c r="D145" s="136"/>
      <c r="E145" s="136"/>
      <c r="F145" s="136"/>
      <c r="G145" s="136"/>
      <c r="H145" s="136"/>
      <c r="I145" s="136"/>
      <c r="J145" s="136"/>
      <c r="K145" s="136"/>
      <c r="L145" s="136"/>
      <c r="M145" s="136"/>
      <c r="N145" s="136"/>
      <c r="O145" s="136"/>
      <c r="P145" s="136"/>
      <c r="Q145" s="136"/>
      <c r="R145" s="136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313">
        <f t="shared" si="28"/>
        <v>0</v>
      </c>
      <c r="AF145" s="315" t="s">
        <v>481</v>
      </c>
      <c r="AG145" s="136"/>
    </row>
    <row r="146" spans="1:33" ht="18.75" customHeight="1" x14ac:dyDescent="0.3">
      <c r="A146" s="327">
        <v>45334</v>
      </c>
      <c r="B146" s="136"/>
      <c r="C146" s="136"/>
      <c r="D146" s="136"/>
      <c r="E146" s="136"/>
      <c r="F146" s="136"/>
      <c r="G146" s="136"/>
      <c r="H146" s="136"/>
      <c r="I146" s="136"/>
      <c r="J146" s="136"/>
      <c r="K146" s="136"/>
      <c r="L146" s="136"/>
      <c r="M146" s="136"/>
      <c r="N146" s="136"/>
      <c r="O146" s="136"/>
      <c r="P146" s="136"/>
      <c r="Q146" s="136"/>
      <c r="R146" s="136"/>
      <c r="S146" s="136"/>
      <c r="T146" s="136"/>
      <c r="U146" s="136"/>
      <c r="V146" s="136"/>
      <c r="W146" s="136"/>
      <c r="X146" s="136"/>
      <c r="Y146" s="136"/>
      <c r="Z146" s="136"/>
      <c r="AA146" s="136"/>
      <c r="AB146" s="136"/>
      <c r="AC146" s="136"/>
      <c r="AD146" s="136"/>
      <c r="AE146" s="313">
        <f t="shared" si="28"/>
        <v>0</v>
      </c>
      <c r="AF146" s="315" t="s">
        <v>482</v>
      </c>
      <c r="AG146" s="136"/>
    </row>
    <row r="147" spans="1:33" ht="18.75" customHeight="1" x14ac:dyDescent="0.3">
      <c r="A147" s="327">
        <v>45334</v>
      </c>
      <c r="B147" s="136"/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313">
        <f t="shared" si="28"/>
        <v>0</v>
      </c>
      <c r="AF147" s="315" t="s">
        <v>483</v>
      </c>
      <c r="AG147" s="136"/>
    </row>
    <row r="148" spans="1:33" ht="18.75" customHeight="1" x14ac:dyDescent="0.3">
      <c r="A148" s="327">
        <v>45335</v>
      </c>
      <c r="B148" s="136"/>
      <c r="C148" s="136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6"/>
      <c r="O148" s="136"/>
      <c r="P148" s="136"/>
      <c r="Q148" s="136"/>
      <c r="R148" s="136"/>
      <c r="S148" s="136"/>
      <c r="T148" s="136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  <c r="AE148" s="313">
        <f t="shared" si="28"/>
        <v>0</v>
      </c>
      <c r="AF148" s="315" t="s">
        <v>484</v>
      </c>
      <c r="AG148" s="136"/>
    </row>
    <row r="149" spans="1:33" ht="18.75" customHeight="1" x14ac:dyDescent="0.3">
      <c r="A149" s="327">
        <v>45336</v>
      </c>
      <c r="B149" s="136"/>
      <c r="C149" s="136"/>
      <c r="D149" s="136"/>
      <c r="E149" s="136"/>
      <c r="F149" s="136"/>
      <c r="G149" s="136"/>
      <c r="H149" s="136"/>
      <c r="I149" s="136"/>
      <c r="J149" s="136"/>
      <c r="K149" s="136"/>
      <c r="L149" s="136"/>
      <c r="M149" s="136"/>
      <c r="N149" s="136"/>
      <c r="O149" s="136"/>
      <c r="P149" s="136"/>
      <c r="Q149" s="136"/>
      <c r="R149" s="136"/>
      <c r="S149" s="136"/>
      <c r="T149" s="136"/>
      <c r="U149" s="136"/>
      <c r="V149" s="136"/>
      <c r="W149" s="136"/>
      <c r="X149" s="136"/>
      <c r="Y149" s="136"/>
      <c r="Z149" s="136"/>
      <c r="AA149" s="136"/>
      <c r="AB149" s="136"/>
      <c r="AC149" s="136"/>
      <c r="AD149" s="136"/>
      <c r="AE149" s="313">
        <f t="shared" si="28"/>
        <v>0</v>
      </c>
      <c r="AF149" s="315" t="s">
        <v>485</v>
      </c>
      <c r="AG149" s="136"/>
    </row>
    <row r="150" spans="1:33" ht="18.75" customHeight="1" x14ac:dyDescent="0.3">
      <c r="A150" s="327">
        <v>45337</v>
      </c>
      <c r="B150" s="136"/>
      <c r="C150" s="136"/>
      <c r="D150" s="136"/>
      <c r="E150" s="136"/>
      <c r="F150" s="136"/>
      <c r="G150" s="136"/>
      <c r="H150" s="136"/>
      <c r="I150" s="136"/>
      <c r="J150" s="136"/>
      <c r="K150" s="136"/>
      <c r="L150" s="136"/>
      <c r="M150" s="136"/>
      <c r="N150" s="136"/>
      <c r="O150" s="136"/>
      <c r="P150" s="136"/>
      <c r="Q150" s="136"/>
      <c r="R150" s="136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  <c r="AE150" s="313">
        <f t="shared" si="28"/>
        <v>0</v>
      </c>
      <c r="AF150" s="315" t="s">
        <v>486</v>
      </c>
      <c r="AG150" s="136"/>
    </row>
    <row r="151" spans="1:33" ht="18.75" customHeight="1" x14ac:dyDescent="0.3">
      <c r="A151" s="327">
        <v>45337</v>
      </c>
      <c r="B151" s="136"/>
      <c r="C151" s="136"/>
      <c r="D151" s="136"/>
      <c r="E151" s="136"/>
      <c r="F151" s="136"/>
      <c r="G151" s="136"/>
      <c r="H151" s="136"/>
      <c r="I151" s="136"/>
      <c r="J151" s="136"/>
      <c r="K151" s="136"/>
      <c r="L151" s="136"/>
      <c r="M151" s="136"/>
      <c r="N151" s="136"/>
      <c r="O151" s="136"/>
      <c r="P151" s="136"/>
      <c r="Q151" s="136"/>
      <c r="R151" s="136"/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313">
        <f t="shared" si="28"/>
        <v>0</v>
      </c>
      <c r="AF151" s="315" t="s">
        <v>487</v>
      </c>
      <c r="AG151" s="136"/>
    </row>
    <row r="152" spans="1:33" ht="18.75" customHeight="1" x14ac:dyDescent="0.3">
      <c r="A152" s="327">
        <v>45337</v>
      </c>
      <c r="B152" s="136"/>
      <c r="C152" s="136"/>
      <c r="D152" s="136"/>
      <c r="E152" s="136"/>
      <c r="F152" s="136"/>
      <c r="G152" s="136"/>
      <c r="H152" s="136"/>
      <c r="I152" s="136"/>
      <c r="J152" s="136"/>
      <c r="K152" s="136"/>
      <c r="L152" s="136"/>
      <c r="M152" s="136"/>
      <c r="N152" s="136"/>
      <c r="O152" s="136"/>
      <c r="P152" s="136"/>
      <c r="Q152" s="136"/>
      <c r="R152" s="136"/>
      <c r="S152" s="136"/>
      <c r="T152" s="136"/>
      <c r="U152" s="136"/>
      <c r="V152" s="136"/>
      <c r="W152" s="136"/>
      <c r="X152" s="136"/>
      <c r="Y152" s="136"/>
      <c r="Z152" s="136"/>
      <c r="AA152" s="136"/>
      <c r="AB152" s="136"/>
      <c r="AC152" s="136"/>
      <c r="AD152" s="136"/>
      <c r="AE152" s="313">
        <f t="shared" si="28"/>
        <v>0</v>
      </c>
      <c r="AF152" s="315" t="s">
        <v>488</v>
      </c>
      <c r="AG152" s="136"/>
    </row>
    <row r="153" spans="1:33" ht="18.75" customHeight="1" x14ac:dyDescent="0.3">
      <c r="A153" s="327">
        <v>45337</v>
      </c>
      <c r="B153" s="136"/>
      <c r="C153" s="136"/>
      <c r="D153" s="136"/>
      <c r="E153" s="136"/>
      <c r="F153" s="136"/>
      <c r="G153" s="136"/>
      <c r="H153" s="136"/>
      <c r="I153" s="136"/>
      <c r="J153" s="136"/>
      <c r="K153" s="136"/>
      <c r="L153" s="136"/>
      <c r="M153" s="136"/>
      <c r="N153" s="136"/>
      <c r="O153" s="136"/>
      <c r="P153" s="136"/>
      <c r="Q153" s="136"/>
      <c r="R153" s="136"/>
      <c r="S153" s="136"/>
      <c r="T153" s="136"/>
      <c r="U153" s="136"/>
      <c r="V153" s="136"/>
      <c r="W153" s="136"/>
      <c r="X153" s="136"/>
      <c r="Y153" s="136"/>
      <c r="Z153" s="136"/>
      <c r="AA153" s="136"/>
      <c r="AB153" s="136"/>
      <c r="AC153" s="136"/>
      <c r="AD153" s="136"/>
      <c r="AE153" s="313">
        <f t="shared" si="28"/>
        <v>0</v>
      </c>
      <c r="AF153" s="315" t="s">
        <v>489</v>
      </c>
      <c r="AG153" s="136"/>
    </row>
    <row r="154" spans="1:33" ht="18.75" customHeight="1" x14ac:dyDescent="0.3">
      <c r="A154" s="327">
        <v>45341</v>
      </c>
      <c r="B154" s="136"/>
      <c r="C154" s="136"/>
      <c r="D154" s="136"/>
      <c r="E154" s="136"/>
      <c r="F154" s="136"/>
      <c r="G154" s="136"/>
      <c r="H154" s="136"/>
      <c r="I154" s="136"/>
      <c r="J154" s="136"/>
      <c r="K154" s="136"/>
      <c r="L154" s="136"/>
      <c r="M154" s="136"/>
      <c r="N154" s="136"/>
      <c r="O154" s="136"/>
      <c r="P154" s="136"/>
      <c r="Q154" s="136"/>
      <c r="R154" s="136"/>
      <c r="S154" s="136"/>
      <c r="T154" s="136"/>
      <c r="U154" s="136"/>
      <c r="V154" s="136"/>
      <c r="W154" s="136"/>
      <c r="X154" s="136"/>
      <c r="Y154" s="136"/>
      <c r="Z154" s="136"/>
      <c r="AA154" s="136"/>
      <c r="AB154" s="136"/>
      <c r="AC154" s="136"/>
      <c r="AD154" s="136"/>
      <c r="AE154" s="313">
        <f t="shared" si="28"/>
        <v>0</v>
      </c>
      <c r="AF154" s="315" t="s">
        <v>490</v>
      </c>
      <c r="AG154" s="136"/>
    </row>
    <row r="155" spans="1:33" ht="18.75" customHeight="1" x14ac:dyDescent="0.3">
      <c r="A155" s="327">
        <v>45341</v>
      </c>
      <c r="B155" s="136"/>
      <c r="C155" s="136"/>
      <c r="D155" s="136"/>
      <c r="E155" s="136"/>
      <c r="F155" s="136"/>
      <c r="G155" s="136"/>
      <c r="H155" s="136"/>
      <c r="I155" s="136"/>
      <c r="J155" s="136"/>
      <c r="K155" s="136"/>
      <c r="L155" s="136"/>
      <c r="M155" s="136"/>
      <c r="N155" s="136"/>
      <c r="O155" s="136"/>
      <c r="P155" s="136"/>
      <c r="Q155" s="136"/>
      <c r="R155" s="136"/>
      <c r="S155" s="136"/>
      <c r="T155" s="136"/>
      <c r="U155" s="136"/>
      <c r="V155" s="136"/>
      <c r="W155" s="136"/>
      <c r="X155" s="136"/>
      <c r="Y155" s="136"/>
      <c r="Z155" s="136"/>
      <c r="AA155" s="136"/>
      <c r="AB155" s="136"/>
      <c r="AC155" s="136"/>
      <c r="AD155" s="136"/>
      <c r="AE155" s="313">
        <f t="shared" si="28"/>
        <v>0</v>
      </c>
      <c r="AF155" s="315" t="s">
        <v>491</v>
      </c>
      <c r="AG155" s="136"/>
    </row>
    <row r="156" spans="1:33" ht="18.75" customHeight="1" x14ac:dyDescent="0.3">
      <c r="A156" s="327">
        <v>45341</v>
      </c>
      <c r="B156" s="136"/>
      <c r="C156" s="136"/>
      <c r="D156" s="136"/>
      <c r="E156" s="136"/>
      <c r="F156" s="136"/>
      <c r="G156" s="136"/>
      <c r="H156" s="136"/>
      <c r="I156" s="136"/>
      <c r="J156" s="136"/>
      <c r="K156" s="136"/>
      <c r="L156" s="136"/>
      <c r="M156" s="136"/>
      <c r="N156" s="136"/>
      <c r="O156" s="136"/>
      <c r="P156" s="136"/>
      <c r="Q156" s="136"/>
      <c r="R156" s="136"/>
      <c r="S156" s="136"/>
      <c r="T156" s="136"/>
      <c r="U156" s="136"/>
      <c r="V156" s="136"/>
      <c r="W156" s="136"/>
      <c r="X156" s="136"/>
      <c r="Y156" s="136"/>
      <c r="Z156" s="136"/>
      <c r="AA156" s="136"/>
      <c r="AB156" s="136"/>
      <c r="AC156" s="136"/>
      <c r="AD156" s="136"/>
      <c r="AE156" s="313">
        <f t="shared" si="28"/>
        <v>0</v>
      </c>
      <c r="AF156" s="315" t="s">
        <v>492</v>
      </c>
      <c r="AG156" s="136"/>
    </row>
    <row r="157" spans="1:33" ht="18.75" customHeight="1" x14ac:dyDescent="0.3">
      <c r="A157" s="327">
        <v>45342</v>
      </c>
      <c r="B157" s="136"/>
      <c r="C157" s="136"/>
      <c r="D157" s="136"/>
      <c r="E157" s="136"/>
      <c r="F157" s="136"/>
      <c r="G157" s="136"/>
      <c r="H157" s="136"/>
      <c r="I157" s="136"/>
      <c r="J157" s="136"/>
      <c r="K157" s="136"/>
      <c r="L157" s="136"/>
      <c r="M157" s="136"/>
      <c r="N157" s="136"/>
      <c r="O157" s="136"/>
      <c r="P157" s="136"/>
      <c r="Q157" s="136"/>
      <c r="R157" s="136"/>
      <c r="S157" s="136"/>
      <c r="T157" s="136"/>
      <c r="U157" s="136"/>
      <c r="V157" s="136"/>
      <c r="W157" s="136"/>
      <c r="X157" s="136"/>
      <c r="Y157" s="136"/>
      <c r="Z157" s="136"/>
      <c r="AA157" s="136"/>
      <c r="AB157" s="136"/>
      <c r="AC157" s="136"/>
      <c r="AD157" s="136"/>
      <c r="AE157" s="313">
        <f t="shared" si="28"/>
        <v>0</v>
      </c>
      <c r="AF157" s="315" t="s">
        <v>493</v>
      </c>
      <c r="AG157" s="136"/>
    </row>
    <row r="158" spans="1:33" ht="18.75" customHeight="1" x14ac:dyDescent="0.3">
      <c r="A158" s="327">
        <v>45342</v>
      </c>
      <c r="B158" s="136"/>
      <c r="C158" s="136"/>
      <c r="D158" s="136"/>
      <c r="E158" s="136"/>
      <c r="F158" s="136"/>
      <c r="G158" s="136"/>
      <c r="H158" s="136"/>
      <c r="I158" s="136"/>
      <c r="J158" s="136"/>
      <c r="K158" s="136"/>
      <c r="L158" s="136"/>
      <c r="M158" s="136"/>
      <c r="N158" s="136"/>
      <c r="O158" s="136"/>
      <c r="P158" s="136"/>
      <c r="Q158" s="136"/>
      <c r="R158" s="136"/>
      <c r="S158" s="136"/>
      <c r="T158" s="136"/>
      <c r="U158" s="136"/>
      <c r="V158" s="136"/>
      <c r="W158" s="136"/>
      <c r="X158" s="136"/>
      <c r="Y158" s="136"/>
      <c r="Z158" s="136"/>
      <c r="AA158" s="136"/>
      <c r="AB158" s="136"/>
      <c r="AC158" s="136"/>
      <c r="AD158" s="136"/>
      <c r="AE158" s="313">
        <f t="shared" si="28"/>
        <v>0</v>
      </c>
      <c r="AF158" s="315" t="s">
        <v>494</v>
      </c>
      <c r="AG158" s="136"/>
    </row>
    <row r="159" spans="1:33" ht="18.75" customHeight="1" x14ac:dyDescent="0.3">
      <c r="A159" s="327">
        <v>45343</v>
      </c>
      <c r="B159" s="136"/>
      <c r="C159" s="136"/>
      <c r="D159" s="136"/>
      <c r="E159" s="136"/>
      <c r="F159" s="136"/>
      <c r="G159" s="136"/>
      <c r="H159" s="136"/>
      <c r="I159" s="319"/>
      <c r="J159" s="136"/>
      <c r="K159" s="136"/>
      <c r="L159" s="136"/>
      <c r="M159" s="136"/>
      <c r="N159" s="136"/>
      <c r="O159" s="136"/>
      <c r="P159" s="136"/>
      <c r="Q159" s="136"/>
      <c r="R159" s="136"/>
      <c r="S159" s="136"/>
      <c r="T159" s="136"/>
      <c r="U159" s="136"/>
      <c r="V159" s="136"/>
      <c r="W159" s="136"/>
      <c r="X159" s="136"/>
      <c r="Y159" s="136"/>
      <c r="Z159" s="136"/>
      <c r="AA159" s="136"/>
      <c r="AB159" s="136"/>
      <c r="AC159" s="136"/>
      <c r="AD159" s="136"/>
      <c r="AE159" s="313">
        <f t="shared" ref="AE159:AE190" si="29">SUM(B159:AD159)</f>
        <v>0</v>
      </c>
      <c r="AF159" s="315" t="s">
        <v>495</v>
      </c>
      <c r="AG159" s="136"/>
    </row>
    <row r="160" spans="1:33" ht="18.75" customHeight="1" x14ac:dyDescent="0.3">
      <c r="A160" s="327">
        <v>45343</v>
      </c>
      <c r="B160" s="136"/>
      <c r="C160" s="136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313">
        <f t="shared" si="29"/>
        <v>0</v>
      </c>
      <c r="AF160" s="315" t="s">
        <v>496</v>
      </c>
      <c r="AG160" s="136"/>
    </row>
    <row r="161" spans="1:33" ht="18.75" customHeight="1" x14ac:dyDescent="0.3">
      <c r="A161" s="327">
        <v>45344</v>
      </c>
      <c r="B161" s="136"/>
      <c r="C161" s="136"/>
      <c r="D161" s="136"/>
      <c r="E161" s="136"/>
      <c r="F161" s="136"/>
      <c r="G161" s="136"/>
      <c r="H161" s="136"/>
      <c r="I161" s="136"/>
      <c r="J161" s="136"/>
      <c r="K161" s="136"/>
      <c r="L161" s="136"/>
      <c r="M161" s="136"/>
      <c r="N161" s="136"/>
      <c r="O161" s="136"/>
      <c r="P161" s="136"/>
      <c r="Q161" s="136"/>
      <c r="R161" s="136"/>
      <c r="S161" s="136"/>
      <c r="T161" s="136"/>
      <c r="U161" s="136"/>
      <c r="V161" s="136"/>
      <c r="W161" s="136"/>
      <c r="X161" s="136"/>
      <c r="Y161" s="136"/>
      <c r="Z161" s="136"/>
      <c r="AA161" s="136"/>
      <c r="AB161" s="136"/>
      <c r="AC161" s="136"/>
      <c r="AD161" s="136"/>
      <c r="AE161" s="313">
        <f t="shared" si="29"/>
        <v>0</v>
      </c>
      <c r="AF161" s="315" t="s">
        <v>497</v>
      </c>
      <c r="AG161" s="136"/>
    </row>
    <row r="162" spans="1:33" ht="18.75" customHeight="1" x14ac:dyDescent="0.3">
      <c r="A162" s="327">
        <v>45344</v>
      </c>
      <c r="B162" s="136"/>
      <c r="C162" s="136"/>
      <c r="D162" s="136"/>
      <c r="E162" s="136"/>
      <c r="F162" s="136"/>
      <c r="G162" s="136"/>
      <c r="H162" s="136"/>
      <c r="I162" s="136"/>
      <c r="J162" s="136"/>
      <c r="K162" s="136"/>
      <c r="L162" s="136"/>
      <c r="M162" s="136"/>
      <c r="N162" s="136"/>
      <c r="O162" s="136"/>
      <c r="P162" s="136"/>
      <c r="Q162" s="136"/>
      <c r="R162" s="136"/>
      <c r="S162" s="136"/>
      <c r="T162" s="136"/>
      <c r="U162" s="136"/>
      <c r="V162" s="136"/>
      <c r="W162" s="136"/>
      <c r="X162" s="136"/>
      <c r="Y162" s="136"/>
      <c r="Z162" s="136"/>
      <c r="AA162" s="136"/>
      <c r="AB162" s="136"/>
      <c r="AC162" s="136"/>
      <c r="AD162" s="136"/>
      <c r="AE162" s="313">
        <f t="shared" si="29"/>
        <v>0</v>
      </c>
      <c r="AF162" s="315" t="s">
        <v>498</v>
      </c>
      <c r="AG162" s="136"/>
    </row>
    <row r="163" spans="1:33" ht="18.75" customHeight="1" x14ac:dyDescent="0.3">
      <c r="A163" s="327">
        <v>45344</v>
      </c>
      <c r="B163" s="136"/>
      <c r="C163" s="136"/>
      <c r="D163" s="136"/>
      <c r="E163" s="136"/>
      <c r="F163" s="136"/>
      <c r="G163" s="136"/>
      <c r="H163" s="136"/>
      <c r="I163" s="136"/>
      <c r="J163" s="136"/>
      <c r="K163" s="136"/>
      <c r="L163" s="136"/>
      <c r="M163" s="136"/>
      <c r="N163" s="136"/>
      <c r="O163" s="136"/>
      <c r="P163" s="136"/>
      <c r="Q163" s="136"/>
      <c r="R163" s="136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313">
        <f t="shared" si="29"/>
        <v>0</v>
      </c>
      <c r="AF163" s="315" t="s">
        <v>499</v>
      </c>
      <c r="AG163" s="136"/>
    </row>
    <row r="164" spans="1:33" ht="18.75" customHeight="1" x14ac:dyDescent="0.3">
      <c r="A164" s="327">
        <v>45349</v>
      </c>
      <c r="B164" s="136"/>
      <c r="C164" s="136"/>
      <c r="D164" s="136"/>
      <c r="E164" s="136"/>
      <c r="F164" s="136"/>
      <c r="G164" s="136"/>
      <c r="H164" s="136"/>
      <c r="I164" s="136"/>
      <c r="J164" s="136"/>
      <c r="K164" s="136"/>
      <c r="L164" s="136"/>
      <c r="M164" s="136"/>
      <c r="N164" s="136"/>
      <c r="O164" s="136"/>
      <c r="P164" s="136"/>
      <c r="Q164" s="136"/>
      <c r="R164" s="136"/>
      <c r="S164" s="136"/>
      <c r="T164" s="136"/>
      <c r="U164" s="136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313">
        <f t="shared" si="29"/>
        <v>0</v>
      </c>
      <c r="AF164" s="315" t="s">
        <v>500</v>
      </c>
      <c r="AG164" s="136"/>
    </row>
    <row r="165" spans="1:33" ht="18.75" customHeight="1" x14ac:dyDescent="0.3">
      <c r="A165" s="327">
        <v>45349</v>
      </c>
      <c r="B165" s="136"/>
      <c r="C165" s="136"/>
      <c r="D165" s="136"/>
      <c r="E165" s="136"/>
      <c r="F165" s="136"/>
      <c r="G165" s="136"/>
      <c r="H165" s="136"/>
      <c r="I165" s="136"/>
      <c r="J165" s="136"/>
      <c r="K165" s="136"/>
      <c r="L165" s="136"/>
      <c r="M165" s="136"/>
      <c r="N165" s="136"/>
      <c r="O165" s="136"/>
      <c r="P165" s="136"/>
      <c r="Q165" s="136"/>
      <c r="R165" s="136"/>
      <c r="S165" s="136"/>
      <c r="T165" s="136"/>
      <c r="U165" s="136"/>
      <c r="V165" s="136"/>
      <c r="W165" s="136"/>
      <c r="X165" s="136"/>
      <c r="Y165" s="136"/>
      <c r="Z165" s="136"/>
      <c r="AA165" s="136"/>
      <c r="AB165" s="136"/>
      <c r="AC165" s="136"/>
      <c r="AD165" s="136"/>
      <c r="AE165" s="313">
        <f t="shared" si="29"/>
        <v>0</v>
      </c>
      <c r="AF165" s="315" t="s">
        <v>501</v>
      </c>
      <c r="AG165" s="136"/>
    </row>
    <row r="166" spans="1:33" ht="18.75" customHeight="1" x14ac:dyDescent="0.3">
      <c r="A166" s="327">
        <v>45350</v>
      </c>
      <c r="B166" s="136"/>
      <c r="C166" s="136"/>
      <c r="D166" s="136"/>
      <c r="E166" s="136"/>
      <c r="F166" s="136"/>
      <c r="G166" s="136"/>
      <c r="H166" s="136"/>
      <c r="I166" s="136"/>
      <c r="J166" s="136"/>
      <c r="K166" s="136"/>
      <c r="L166" s="136"/>
      <c r="M166" s="136"/>
      <c r="N166" s="136"/>
      <c r="O166" s="136"/>
      <c r="P166" s="136"/>
      <c r="Q166" s="136"/>
      <c r="R166" s="136"/>
      <c r="S166" s="136"/>
      <c r="T166" s="136"/>
      <c r="U166" s="136"/>
      <c r="V166" s="136"/>
      <c r="W166" s="136"/>
      <c r="X166" s="136"/>
      <c r="Y166" s="136"/>
      <c r="Z166" s="136"/>
      <c r="AA166" s="136"/>
      <c r="AB166" s="136"/>
      <c r="AC166" s="136"/>
      <c r="AD166" s="136"/>
      <c r="AE166" s="313">
        <f t="shared" si="29"/>
        <v>0</v>
      </c>
      <c r="AF166" s="315" t="s">
        <v>502</v>
      </c>
      <c r="AG166" s="136"/>
    </row>
    <row r="167" spans="1:33" ht="18.75" customHeight="1" x14ac:dyDescent="0.3">
      <c r="A167" s="341">
        <v>45338</v>
      </c>
      <c r="B167" s="136"/>
      <c r="C167" s="136"/>
      <c r="D167" s="136"/>
      <c r="E167" s="136"/>
      <c r="F167" s="136"/>
      <c r="G167" s="136"/>
      <c r="H167" s="136"/>
      <c r="I167" s="265"/>
      <c r="J167" s="136"/>
      <c r="K167" s="136"/>
      <c r="L167" s="136"/>
      <c r="M167" s="136"/>
      <c r="N167" s="136"/>
      <c r="O167" s="136"/>
      <c r="P167" s="136"/>
      <c r="Q167" s="136"/>
      <c r="R167" s="136"/>
      <c r="S167" s="136"/>
      <c r="T167" s="136"/>
      <c r="U167" s="136"/>
      <c r="V167" s="136"/>
      <c r="W167" s="136"/>
      <c r="X167" s="136"/>
      <c r="Y167" s="136"/>
      <c r="Z167" s="136"/>
      <c r="AA167" s="136"/>
      <c r="AB167" s="136"/>
      <c r="AC167" s="136"/>
      <c r="AD167" s="136"/>
      <c r="AE167" s="145">
        <f t="shared" si="29"/>
        <v>0</v>
      </c>
      <c r="AF167" s="292" t="s">
        <v>503</v>
      </c>
      <c r="AG167" s="136"/>
    </row>
    <row r="168" spans="1:33" ht="18.75" customHeight="1" x14ac:dyDescent="0.3">
      <c r="A168" s="341">
        <v>45342</v>
      </c>
      <c r="B168" s="136"/>
      <c r="C168" s="136"/>
      <c r="D168" s="136"/>
      <c r="E168" s="136"/>
      <c r="F168" s="136"/>
      <c r="G168" s="136"/>
      <c r="H168" s="136"/>
      <c r="I168" s="265"/>
      <c r="J168" s="136"/>
      <c r="K168" s="136"/>
      <c r="L168" s="136"/>
      <c r="M168" s="136"/>
      <c r="N168" s="136"/>
      <c r="O168" s="136"/>
      <c r="P168" s="136"/>
      <c r="Q168" s="136"/>
      <c r="R168" s="136"/>
      <c r="S168" s="136"/>
      <c r="T168" s="136"/>
      <c r="U168" s="136"/>
      <c r="V168" s="136"/>
      <c r="W168" s="136"/>
      <c r="X168" s="136"/>
      <c r="Y168" s="136"/>
      <c r="Z168" s="136"/>
      <c r="AA168" s="136"/>
      <c r="AB168" s="136"/>
      <c r="AC168" s="136"/>
      <c r="AD168" s="136"/>
      <c r="AE168" s="145">
        <f t="shared" si="29"/>
        <v>0</v>
      </c>
      <c r="AF168" s="292" t="s">
        <v>504</v>
      </c>
      <c r="AG168" s="136"/>
    </row>
    <row r="169" spans="1:33" ht="18.75" customHeight="1" x14ac:dyDescent="0.3">
      <c r="A169" s="341">
        <v>45345</v>
      </c>
      <c r="B169" s="136"/>
      <c r="C169" s="136"/>
      <c r="D169" s="136"/>
      <c r="E169" s="136"/>
      <c r="F169" s="136"/>
      <c r="G169" s="136"/>
      <c r="H169" s="136"/>
      <c r="I169" s="265"/>
      <c r="J169" s="136"/>
      <c r="K169" s="136"/>
      <c r="L169" s="136"/>
      <c r="M169" s="136"/>
      <c r="N169" s="136"/>
      <c r="O169" s="136"/>
      <c r="P169" s="136"/>
      <c r="Q169" s="136"/>
      <c r="R169" s="136"/>
      <c r="S169" s="136"/>
      <c r="T169" s="136"/>
      <c r="U169" s="136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45">
        <f t="shared" si="29"/>
        <v>0</v>
      </c>
      <c r="AF169" s="292" t="s">
        <v>505</v>
      </c>
      <c r="AG169" s="136"/>
    </row>
    <row r="170" spans="1:33" ht="18.75" customHeight="1" x14ac:dyDescent="0.3">
      <c r="A170" s="281"/>
      <c r="B170" s="136"/>
      <c r="C170" s="136"/>
      <c r="D170" s="136"/>
      <c r="E170" s="136"/>
      <c r="F170" s="136"/>
      <c r="G170" s="136"/>
      <c r="H170" s="136"/>
      <c r="I170" s="136"/>
      <c r="J170" s="136"/>
      <c r="K170" s="136"/>
      <c r="L170" s="136"/>
      <c r="M170" s="136"/>
      <c r="N170" s="136"/>
      <c r="O170" s="136"/>
      <c r="P170" s="136"/>
      <c r="Q170" s="136"/>
      <c r="R170" s="136"/>
      <c r="S170" s="136"/>
      <c r="T170" s="136"/>
      <c r="U170" s="136"/>
      <c r="V170" s="136"/>
      <c r="W170" s="136"/>
      <c r="X170" s="136"/>
      <c r="Y170" s="136"/>
      <c r="Z170" s="136"/>
      <c r="AA170" s="136"/>
      <c r="AB170" s="136"/>
      <c r="AC170" s="136"/>
      <c r="AD170" s="136"/>
      <c r="AE170" s="313">
        <f t="shared" si="29"/>
        <v>0</v>
      </c>
      <c r="AF170" s="272"/>
      <c r="AG170" s="136"/>
    </row>
    <row r="171" spans="1:33" ht="18.75" customHeight="1" x14ac:dyDescent="0.3">
      <c r="A171" s="281"/>
      <c r="B171" s="136"/>
      <c r="C171" s="136"/>
      <c r="D171" s="136"/>
      <c r="E171" s="136"/>
      <c r="F171" s="136"/>
      <c r="G171" s="136"/>
      <c r="H171" s="136"/>
      <c r="I171" s="136"/>
      <c r="J171" s="136"/>
      <c r="K171" s="136"/>
      <c r="L171" s="136"/>
      <c r="M171" s="136"/>
      <c r="N171" s="136"/>
      <c r="O171" s="136"/>
      <c r="P171" s="136"/>
      <c r="Q171" s="136"/>
      <c r="R171" s="136"/>
      <c r="S171" s="136"/>
      <c r="T171" s="136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  <c r="AE171" s="313">
        <f t="shared" si="29"/>
        <v>0</v>
      </c>
      <c r="AF171" s="272"/>
      <c r="AG171" s="136"/>
    </row>
    <row r="172" spans="1:33" ht="18.75" customHeight="1" x14ac:dyDescent="0.3">
      <c r="A172" s="281"/>
      <c r="B172" s="136"/>
      <c r="C172" s="136"/>
      <c r="D172" s="136"/>
      <c r="E172" s="136"/>
      <c r="F172" s="136"/>
      <c r="G172" s="136"/>
      <c r="H172" s="136"/>
      <c r="I172" s="136"/>
      <c r="J172" s="136"/>
      <c r="K172" s="136"/>
      <c r="L172" s="136"/>
      <c r="M172" s="136"/>
      <c r="N172" s="136"/>
      <c r="O172" s="136"/>
      <c r="P172" s="136"/>
      <c r="Q172" s="136"/>
      <c r="R172" s="136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313">
        <f t="shared" si="29"/>
        <v>0</v>
      </c>
      <c r="AF172" s="272"/>
      <c r="AG172" s="136"/>
    </row>
    <row r="173" spans="1:33" ht="18.75" customHeight="1" x14ac:dyDescent="0.3">
      <c r="A173" s="287" t="s">
        <v>229</v>
      </c>
      <c r="B173" s="279">
        <f t="shared" ref="B173:AD173" si="30">SUM(B126:B172)</f>
        <v>0</v>
      </c>
      <c r="C173" s="279">
        <f t="shared" si="30"/>
        <v>0</v>
      </c>
      <c r="D173" s="279">
        <f t="shared" si="30"/>
        <v>0</v>
      </c>
      <c r="E173" s="279">
        <f t="shared" si="30"/>
        <v>0</v>
      </c>
      <c r="F173" s="279">
        <f t="shared" si="30"/>
        <v>0</v>
      </c>
      <c r="G173" s="279">
        <f t="shared" si="30"/>
        <v>0</v>
      </c>
      <c r="H173" s="279">
        <f t="shared" si="30"/>
        <v>0</v>
      </c>
      <c r="I173" s="279">
        <f t="shared" si="30"/>
        <v>0</v>
      </c>
      <c r="J173" s="279">
        <f t="shared" si="30"/>
        <v>0</v>
      </c>
      <c r="K173" s="279">
        <f t="shared" si="30"/>
        <v>0</v>
      </c>
      <c r="L173" s="279">
        <f t="shared" si="30"/>
        <v>0</v>
      </c>
      <c r="M173" s="279">
        <f t="shared" si="30"/>
        <v>0</v>
      </c>
      <c r="N173" s="279">
        <f t="shared" si="30"/>
        <v>0</v>
      </c>
      <c r="O173" s="279">
        <f t="shared" si="30"/>
        <v>0</v>
      </c>
      <c r="P173" s="279">
        <f t="shared" si="30"/>
        <v>0</v>
      </c>
      <c r="Q173" s="279">
        <f t="shared" si="30"/>
        <v>0</v>
      </c>
      <c r="R173" s="279">
        <f t="shared" si="30"/>
        <v>0</v>
      </c>
      <c r="S173" s="279">
        <f t="shared" si="30"/>
        <v>0</v>
      </c>
      <c r="T173" s="279">
        <f t="shared" si="30"/>
        <v>0</v>
      </c>
      <c r="U173" s="279">
        <f t="shared" si="30"/>
        <v>0</v>
      </c>
      <c r="V173" s="279">
        <f t="shared" si="30"/>
        <v>0</v>
      </c>
      <c r="W173" s="279">
        <f t="shared" si="30"/>
        <v>0</v>
      </c>
      <c r="X173" s="279">
        <f t="shared" si="30"/>
        <v>0</v>
      </c>
      <c r="Y173" s="279">
        <f t="shared" si="30"/>
        <v>0</v>
      </c>
      <c r="Z173" s="279">
        <f t="shared" ref="Z173:AA173" si="31">SUM(Z126:Z172)</f>
        <v>0</v>
      </c>
      <c r="AA173" s="279">
        <f t="shared" si="31"/>
        <v>0</v>
      </c>
      <c r="AB173" s="279">
        <f t="shared" si="30"/>
        <v>0</v>
      </c>
      <c r="AC173" s="279">
        <f t="shared" si="30"/>
        <v>0</v>
      </c>
      <c r="AD173" s="279">
        <f t="shared" si="30"/>
        <v>0</v>
      </c>
      <c r="AE173" s="280">
        <f t="shared" si="29"/>
        <v>0</v>
      </c>
      <c r="AF173" s="339"/>
      <c r="AG173" s="340"/>
    </row>
    <row r="174" spans="1:33" ht="18.75" customHeight="1" x14ac:dyDescent="0.3">
      <c r="A174" s="287" t="s">
        <v>230</v>
      </c>
      <c r="B174" s="279">
        <f t="shared" ref="B174:AD174" si="32">SUM(B124+B173)</f>
        <v>51061.2</v>
      </c>
      <c r="C174" s="279">
        <f t="shared" si="32"/>
        <v>104149.33</v>
      </c>
      <c r="D174" s="279">
        <f t="shared" si="32"/>
        <v>3500</v>
      </c>
      <c r="E174" s="279">
        <f t="shared" si="32"/>
        <v>0</v>
      </c>
      <c r="F174" s="279">
        <f t="shared" si="32"/>
        <v>0</v>
      </c>
      <c r="G174" s="279">
        <f t="shared" si="32"/>
        <v>2600</v>
      </c>
      <c r="H174" s="279">
        <f t="shared" si="32"/>
        <v>0</v>
      </c>
      <c r="I174" s="279">
        <f t="shared" si="32"/>
        <v>49458</v>
      </c>
      <c r="J174" s="279">
        <f t="shared" si="32"/>
        <v>320434.92000000004</v>
      </c>
      <c r="K174" s="279">
        <f t="shared" si="32"/>
        <v>15200</v>
      </c>
      <c r="L174" s="279">
        <f t="shared" si="32"/>
        <v>66867</v>
      </c>
      <c r="M174" s="279">
        <f t="shared" si="32"/>
        <v>41505</v>
      </c>
      <c r="N174" s="279">
        <f t="shared" si="32"/>
        <v>0</v>
      </c>
      <c r="O174" s="279">
        <f t="shared" si="32"/>
        <v>0</v>
      </c>
      <c r="P174" s="279">
        <f t="shared" si="32"/>
        <v>0</v>
      </c>
      <c r="Q174" s="279">
        <f t="shared" si="32"/>
        <v>53499</v>
      </c>
      <c r="R174" s="279">
        <f t="shared" si="32"/>
        <v>27285</v>
      </c>
      <c r="S174" s="279">
        <f t="shared" si="32"/>
        <v>0</v>
      </c>
      <c r="T174" s="279">
        <f t="shared" si="32"/>
        <v>39162</v>
      </c>
      <c r="U174" s="279">
        <f t="shared" si="32"/>
        <v>270000</v>
      </c>
      <c r="V174" s="279">
        <f t="shared" si="32"/>
        <v>0</v>
      </c>
      <c r="W174" s="279">
        <f t="shared" si="32"/>
        <v>24824</v>
      </c>
      <c r="X174" s="279">
        <f t="shared" si="32"/>
        <v>75836.25</v>
      </c>
      <c r="Y174" s="279">
        <f t="shared" si="32"/>
        <v>0</v>
      </c>
      <c r="Z174" s="279">
        <f t="shared" ref="Z174:AA174" si="33">SUM(Z124+Z173)</f>
        <v>0</v>
      </c>
      <c r="AA174" s="279">
        <f t="shared" si="33"/>
        <v>0</v>
      </c>
      <c r="AB174" s="279">
        <f t="shared" si="32"/>
        <v>83280.240000000005</v>
      </c>
      <c r="AC174" s="279">
        <f t="shared" si="32"/>
        <v>131660.71</v>
      </c>
      <c r="AD174" s="279">
        <f t="shared" si="32"/>
        <v>0</v>
      </c>
      <c r="AE174" s="280">
        <f t="shared" si="29"/>
        <v>1360322.6500000001</v>
      </c>
      <c r="AF174" s="308"/>
      <c r="AG174" s="195"/>
    </row>
    <row r="175" spans="1:33" ht="18.75" customHeight="1" x14ac:dyDescent="0.3">
      <c r="A175" s="287" t="s">
        <v>231</v>
      </c>
      <c r="B175" s="279">
        <f t="shared" ref="B175:AD175" si="34">SUM(B125-B173)</f>
        <v>515738.8</v>
      </c>
      <c r="C175" s="279">
        <f t="shared" si="34"/>
        <v>45850.669999999991</v>
      </c>
      <c r="D175" s="279">
        <f t="shared" si="34"/>
        <v>324500</v>
      </c>
      <c r="E175" s="279">
        <f t="shared" si="34"/>
        <v>0</v>
      </c>
      <c r="F175" s="279">
        <f t="shared" si="34"/>
        <v>0</v>
      </c>
      <c r="G175" s="279">
        <f t="shared" si="34"/>
        <v>-2600</v>
      </c>
      <c r="H175" s="279">
        <f t="shared" si="34"/>
        <v>0</v>
      </c>
      <c r="I175" s="279">
        <f t="shared" si="34"/>
        <v>198442</v>
      </c>
      <c r="J175" s="279">
        <f t="shared" si="34"/>
        <v>-320434.92000000004</v>
      </c>
      <c r="K175" s="279">
        <f t="shared" si="34"/>
        <v>-15200</v>
      </c>
      <c r="L175" s="279">
        <f t="shared" si="34"/>
        <v>183133</v>
      </c>
      <c r="M175" s="279">
        <f t="shared" si="34"/>
        <v>98495</v>
      </c>
      <c r="N175" s="279">
        <f t="shared" si="34"/>
        <v>0</v>
      </c>
      <c r="O175" s="279">
        <f t="shared" si="34"/>
        <v>0</v>
      </c>
      <c r="P175" s="279">
        <f t="shared" si="34"/>
        <v>0</v>
      </c>
      <c r="Q175" s="279">
        <f t="shared" si="34"/>
        <v>160501</v>
      </c>
      <c r="R175" s="279">
        <f t="shared" si="34"/>
        <v>361660</v>
      </c>
      <c r="S175" s="279">
        <f t="shared" si="34"/>
        <v>74900</v>
      </c>
      <c r="T175" s="279">
        <f t="shared" si="34"/>
        <v>1154497</v>
      </c>
      <c r="U175" s="279">
        <f t="shared" si="34"/>
        <v>1234800</v>
      </c>
      <c r="V175" s="279">
        <f t="shared" si="34"/>
        <v>189600</v>
      </c>
      <c r="W175" s="279">
        <f t="shared" si="34"/>
        <v>74472</v>
      </c>
      <c r="X175" s="279">
        <f t="shared" si="34"/>
        <v>84163.75</v>
      </c>
      <c r="Y175" s="279">
        <f t="shared" si="34"/>
        <v>8500000</v>
      </c>
      <c r="Z175" s="279">
        <f t="shared" ref="Z175:AA175" si="35">SUM(Z125-Z173)</f>
        <v>716400</v>
      </c>
      <c r="AA175" s="279">
        <f t="shared" si="35"/>
        <v>1113800</v>
      </c>
      <c r="AB175" s="279">
        <f t="shared" si="34"/>
        <v>91519.75999999998</v>
      </c>
      <c r="AC175" s="279">
        <f t="shared" si="34"/>
        <v>66339.290000000008</v>
      </c>
      <c r="AD175" s="279">
        <f t="shared" si="34"/>
        <v>0</v>
      </c>
      <c r="AE175" s="280">
        <f t="shared" si="29"/>
        <v>14850577.35</v>
      </c>
      <c r="AF175" s="308"/>
      <c r="AG175" s="195"/>
    </row>
    <row r="176" spans="1:33" ht="18.75" customHeight="1" x14ac:dyDescent="0.3">
      <c r="A176" s="284" t="s">
        <v>232</v>
      </c>
      <c r="B176" s="136"/>
      <c r="C176" s="136"/>
      <c r="D176" s="136"/>
      <c r="E176" s="136"/>
      <c r="F176" s="136"/>
      <c r="G176" s="136"/>
      <c r="H176" s="136"/>
      <c r="I176" s="136"/>
      <c r="J176" s="136"/>
      <c r="K176" s="136"/>
      <c r="L176" s="136"/>
      <c r="M176" s="136"/>
      <c r="N176" s="136"/>
      <c r="O176" s="136"/>
      <c r="P176" s="136"/>
      <c r="Q176" s="136"/>
      <c r="R176" s="136"/>
      <c r="S176" s="136"/>
      <c r="T176" s="136"/>
      <c r="U176" s="136"/>
      <c r="V176" s="136"/>
      <c r="W176" s="136"/>
      <c r="X176" s="136"/>
      <c r="Y176" s="136"/>
      <c r="Z176" s="136"/>
      <c r="AA176" s="136"/>
      <c r="AB176" s="136"/>
      <c r="AC176" s="136"/>
      <c r="AD176" s="136"/>
      <c r="AE176" s="329">
        <f t="shared" si="29"/>
        <v>0</v>
      </c>
      <c r="AF176" s="272"/>
      <c r="AG176" s="136"/>
    </row>
    <row r="177" spans="1:33" ht="18.75" customHeight="1" x14ac:dyDescent="0.3">
      <c r="A177" s="344">
        <v>243678</v>
      </c>
      <c r="B177" s="136"/>
      <c r="C177" s="136"/>
      <c r="D177" s="136"/>
      <c r="E177" s="136"/>
      <c r="F177" s="136"/>
      <c r="G177" s="136"/>
      <c r="H177" s="136"/>
      <c r="I177" s="136"/>
      <c r="J177" s="136"/>
      <c r="K177" s="136"/>
      <c r="L177" s="136"/>
      <c r="M177" s="136"/>
      <c r="N177" s="136"/>
      <c r="O177" s="136"/>
      <c r="P177" s="136"/>
      <c r="Q177" s="136"/>
      <c r="R177" s="136"/>
      <c r="S177" s="136"/>
      <c r="T177" s="136"/>
      <c r="U177" s="136"/>
      <c r="V177" s="136"/>
      <c r="W177" s="136"/>
      <c r="X177" s="136"/>
      <c r="Y177" s="136"/>
      <c r="Z177" s="136"/>
      <c r="AA177" s="136"/>
      <c r="AB177" s="136"/>
      <c r="AC177" s="136"/>
      <c r="AD177" s="136"/>
      <c r="AE177" s="329">
        <f t="shared" si="29"/>
        <v>0</v>
      </c>
      <c r="AF177" s="315" t="s">
        <v>506</v>
      </c>
      <c r="AG177" s="136"/>
    </row>
    <row r="178" spans="1:33" ht="18.75" customHeight="1" x14ac:dyDescent="0.3">
      <c r="A178" s="344">
        <v>45352</v>
      </c>
      <c r="B178" s="136"/>
      <c r="C178" s="136"/>
      <c r="D178" s="136"/>
      <c r="E178" s="136"/>
      <c r="F178" s="136"/>
      <c r="G178" s="136"/>
      <c r="H178" s="136"/>
      <c r="I178" s="136"/>
      <c r="J178" s="136"/>
      <c r="K178" s="136"/>
      <c r="L178" s="136"/>
      <c r="M178" s="136"/>
      <c r="N178" s="136"/>
      <c r="O178" s="136"/>
      <c r="P178" s="136"/>
      <c r="Q178" s="136"/>
      <c r="R178" s="136"/>
      <c r="S178" s="136"/>
      <c r="T178" s="136"/>
      <c r="U178" s="136"/>
      <c r="V178" s="136"/>
      <c r="W178" s="136"/>
      <c r="X178" s="136"/>
      <c r="Y178" s="136"/>
      <c r="Z178" s="136"/>
      <c r="AA178" s="136"/>
      <c r="AB178" s="136"/>
      <c r="AC178" s="136"/>
      <c r="AD178" s="136"/>
      <c r="AE178" s="329">
        <f t="shared" si="29"/>
        <v>0</v>
      </c>
      <c r="AF178" s="345" t="s">
        <v>507</v>
      </c>
      <c r="AG178" s="136"/>
    </row>
    <row r="179" spans="1:33" ht="18.75" customHeight="1" x14ac:dyDescent="0.3">
      <c r="A179" s="344">
        <v>243678</v>
      </c>
      <c r="B179" s="136"/>
      <c r="C179" s="136"/>
      <c r="D179" s="136"/>
      <c r="E179" s="136"/>
      <c r="F179" s="136"/>
      <c r="G179" s="136"/>
      <c r="H179" s="136"/>
      <c r="I179" s="136"/>
      <c r="J179" s="136"/>
      <c r="K179" s="136"/>
      <c r="L179" s="136"/>
      <c r="M179" s="136"/>
      <c r="N179" s="136"/>
      <c r="O179" s="136"/>
      <c r="P179" s="136"/>
      <c r="Q179" s="136"/>
      <c r="R179" s="136"/>
      <c r="S179" s="136"/>
      <c r="T179" s="136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  <c r="AE179" s="329">
        <f t="shared" si="29"/>
        <v>0</v>
      </c>
      <c r="AF179" s="315" t="s">
        <v>508</v>
      </c>
      <c r="AG179" s="136"/>
    </row>
    <row r="180" spans="1:33" ht="18.75" customHeight="1" x14ac:dyDescent="0.3">
      <c r="A180" s="344">
        <v>243681</v>
      </c>
      <c r="B180" s="136"/>
      <c r="C180" s="136"/>
      <c r="D180" s="136"/>
      <c r="E180" s="136"/>
      <c r="F180" s="136"/>
      <c r="G180" s="136"/>
      <c r="H180" s="136"/>
      <c r="I180" s="136"/>
      <c r="J180" s="136"/>
      <c r="K180" s="136"/>
      <c r="L180" s="136"/>
      <c r="M180" s="136"/>
      <c r="N180" s="136"/>
      <c r="O180" s="136"/>
      <c r="P180" s="136"/>
      <c r="Q180" s="136"/>
      <c r="R180" s="136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329">
        <f t="shared" si="29"/>
        <v>0</v>
      </c>
      <c r="AF180" s="315" t="s">
        <v>509</v>
      </c>
      <c r="AG180" s="136"/>
    </row>
    <row r="181" spans="1:33" ht="18.75" customHeight="1" x14ac:dyDescent="0.3">
      <c r="A181" s="344">
        <v>243681</v>
      </c>
      <c r="B181" s="136"/>
      <c r="C181" s="136"/>
      <c r="D181" s="136"/>
      <c r="E181" s="136"/>
      <c r="F181" s="136"/>
      <c r="G181" s="136"/>
      <c r="H181" s="136"/>
      <c r="I181" s="136"/>
      <c r="J181" s="136"/>
      <c r="K181" s="136"/>
      <c r="L181" s="136"/>
      <c r="M181" s="136"/>
      <c r="N181" s="136"/>
      <c r="O181" s="136"/>
      <c r="P181" s="136"/>
      <c r="Q181" s="136"/>
      <c r="R181" s="136"/>
      <c r="S181" s="136"/>
      <c r="T181" s="136"/>
      <c r="U181" s="136"/>
      <c r="V181" s="136"/>
      <c r="W181" s="136"/>
      <c r="X181" s="136"/>
      <c r="Y181" s="136"/>
      <c r="Z181" s="136"/>
      <c r="AA181" s="136"/>
      <c r="AB181" s="136"/>
      <c r="AC181" s="136"/>
      <c r="AD181" s="136"/>
      <c r="AE181" s="329">
        <f t="shared" si="29"/>
        <v>0</v>
      </c>
      <c r="AF181" s="315" t="s">
        <v>510</v>
      </c>
      <c r="AG181" s="136"/>
    </row>
    <row r="182" spans="1:33" ht="18.75" customHeight="1" x14ac:dyDescent="0.3">
      <c r="A182" s="344">
        <v>243681</v>
      </c>
      <c r="B182" s="136"/>
      <c r="C182" s="136"/>
      <c r="D182" s="136"/>
      <c r="E182" s="136"/>
      <c r="F182" s="136"/>
      <c r="G182" s="136"/>
      <c r="H182" s="136"/>
      <c r="I182" s="136"/>
      <c r="J182" s="136"/>
      <c r="K182" s="136"/>
      <c r="L182" s="136"/>
      <c r="M182" s="136"/>
      <c r="N182" s="136"/>
      <c r="O182" s="136"/>
      <c r="P182" s="136"/>
      <c r="Q182" s="136"/>
      <c r="R182" s="136"/>
      <c r="S182" s="136"/>
      <c r="T182" s="136"/>
      <c r="U182" s="136"/>
      <c r="V182" s="136"/>
      <c r="W182" s="136"/>
      <c r="X182" s="136"/>
      <c r="Y182" s="136"/>
      <c r="Z182" s="136"/>
      <c r="AA182" s="136"/>
      <c r="AB182" s="136"/>
      <c r="AC182" s="136"/>
      <c r="AD182" s="136"/>
      <c r="AE182" s="329">
        <f t="shared" si="29"/>
        <v>0</v>
      </c>
      <c r="AF182" s="315" t="s">
        <v>511</v>
      </c>
      <c r="AG182" s="138"/>
    </row>
    <row r="183" spans="1:33" ht="18.75" customHeight="1" x14ac:dyDescent="0.3">
      <c r="A183" s="344">
        <v>243683</v>
      </c>
      <c r="B183" s="136"/>
      <c r="C183" s="136"/>
      <c r="D183" s="136"/>
      <c r="E183" s="136"/>
      <c r="F183" s="136"/>
      <c r="G183" s="136"/>
      <c r="H183" s="136"/>
      <c r="I183" s="136"/>
      <c r="J183" s="136"/>
      <c r="K183" s="136"/>
      <c r="L183" s="13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  <c r="AE183" s="329">
        <f t="shared" si="29"/>
        <v>0</v>
      </c>
      <c r="AF183" s="315" t="s">
        <v>512</v>
      </c>
      <c r="AG183" s="138"/>
    </row>
    <row r="184" spans="1:33" ht="18.75" customHeight="1" x14ac:dyDescent="0.3">
      <c r="A184" s="344">
        <v>243683</v>
      </c>
      <c r="B184" s="136"/>
      <c r="C184" s="136"/>
      <c r="D184" s="136"/>
      <c r="E184" s="136"/>
      <c r="F184" s="136"/>
      <c r="G184" s="136"/>
      <c r="H184" s="136"/>
      <c r="I184" s="136"/>
      <c r="J184" s="136"/>
      <c r="K184" s="136"/>
      <c r="L184" s="136"/>
      <c r="M184" s="136"/>
      <c r="N184" s="136"/>
      <c r="O184" s="136"/>
      <c r="P184" s="136"/>
      <c r="Q184" s="136"/>
      <c r="R184" s="136"/>
      <c r="S184" s="136"/>
      <c r="T184" s="136"/>
      <c r="U184" s="136"/>
      <c r="V184" s="136"/>
      <c r="W184" s="136"/>
      <c r="X184" s="136"/>
      <c r="Y184" s="136"/>
      <c r="Z184" s="136"/>
      <c r="AA184" s="136"/>
      <c r="AB184" s="136"/>
      <c r="AC184" s="136"/>
      <c r="AD184" s="136"/>
      <c r="AE184" s="329">
        <f t="shared" si="29"/>
        <v>0</v>
      </c>
      <c r="AF184" s="315" t="s">
        <v>513</v>
      </c>
      <c r="AG184" s="136"/>
    </row>
    <row r="185" spans="1:33" ht="18.75" customHeight="1" x14ac:dyDescent="0.3">
      <c r="A185" s="344">
        <v>243683</v>
      </c>
      <c r="B185" s="136"/>
      <c r="C185" s="136"/>
      <c r="D185" s="136"/>
      <c r="E185" s="136"/>
      <c r="F185" s="136"/>
      <c r="G185" s="136"/>
      <c r="H185" s="136"/>
      <c r="I185" s="136"/>
      <c r="J185" s="136"/>
      <c r="K185" s="136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  <c r="AE185" s="329">
        <f t="shared" si="29"/>
        <v>0</v>
      </c>
      <c r="AF185" s="315" t="s">
        <v>514</v>
      </c>
      <c r="AG185" s="136"/>
    </row>
    <row r="186" spans="1:33" ht="18.75" customHeight="1" x14ac:dyDescent="0.3">
      <c r="A186" s="344">
        <v>243683</v>
      </c>
      <c r="B186" s="136"/>
      <c r="C186" s="136"/>
      <c r="D186" s="136"/>
      <c r="E186" s="136"/>
      <c r="F186" s="136"/>
      <c r="G186" s="136"/>
      <c r="H186" s="136"/>
      <c r="I186" s="136"/>
      <c r="J186" s="136"/>
      <c r="K186" s="136"/>
      <c r="L186" s="136"/>
      <c r="M186" s="136"/>
      <c r="N186" s="136"/>
      <c r="O186" s="136"/>
      <c r="P186" s="136"/>
      <c r="Q186" s="136"/>
      <c r="R186" s="136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  <c r="AE186" s="329">
        <f t="shared" si="29"/>
        <v>0</v>
      </c>
      <c r="AF186" s="315" t="s">
        <v>515</v>
      </c>
      <c r="AG186" s="136"/>
    </row>
    <row r="187" spans="1:33" ht="18.75" customHeight="1" x14ac:dyDescent="0.3">
      <c r="A187" s="344">
        <v>243685</v>
      </c>
      <c r="B187" s="136"/>
      <c r="C187" s="136"/>
      <c r="D187" s="136"/>
      <c r="E187" s="136"/>
      <c r="F187" s="136"/>
      <c r="G187" s="136"/>
      <c r="H187" s="136"/>
      <c r="I187" s="136"/>
      <c r="J187" s="136"/>
      <c r="K187" s="136"/>
      <c r="L187" s="136"/>
      <c r="M187" s="136"/>
      <c r="N187" s="136"/>
      <c r="O187" s="136"/>
      <c r="P187" s="136"/>
      <c r="Q187" s="136"/>
      <c r="R187" s="136"/>
      <c r="S187" s="136"/>
      <c r="T187" s="136"/>
      <c r="U187" s="136"/>
      <c r="V187" s="136"/>
      <c r="W187" s="136"/>
      <c r="X187" s="136"/>
      <c r="Y187" s="136"/>
      <c r="Z187" s="136"/>
      <c r="AA187" s="136"/>
      <c r="AB187" s="136"/>
      <c r="AC187" s="136"/>
      <c r="AD187" s="136"/>
      <c r="AE187" s="329">
        <f t="shared" si="29"/>
        <v>0</v>
      </c>
      <c r="AF187" s="315" t="s">
        <v>516</v>
      </c>
      <c r="AG187" s="136"/>
    </row>
    <row r="188" spans="1:33" ht="18.75" customHeight="1" x14ac:dyDescent="0.3">
      <c r="A188" s="344">
        <v>243685</v>
      </c>
      <c r="B188" s="136"/>
      <c r="C188" s="136"/>
      <c r="D188" s="136"/>
      <c r="E188" s="136"/>
      <c r="F188" s="136"/>
      <c r="G188" s="136"/>
      <c r="H188" s="136"/>
      <c r="I188" s="136"/>
      <c r="J188" s="136"/>
      <c r="K188" s="136"/>
      <c r="L188" s="136"/>
      <c r="M188" s="136"/>
      <c r="N188" s="136"/>
      <c r="O188" s="136"/>
      <c r="P188" s="136"/>
      <c r="Q188" s="136"/>
      <c r="R188" s="136"/>
      <c r="S188" s="136"/>
      <c r="T188" s="136"/>
      <c r="U188" s="136"/>
      <c r="V188" s="136"/>
      <c r="W188" s="136"/>
      <c r="X188" s="136"/>
      <c r="Y188" s="136"/>
      <c r="Z188" s="136"/>
      <c r="AA188" s="136"/>
      <c r="AB188" s="136"/>
      <c r="AC188" s="136"/>
      <c r="AD188" s="136"/>
      <c r="AE188" s="329">
        <f t="shared" si="29"/>
        <v>0</v>
      </c>
      <c r="AF188" s="315" t="s">
        <v>517</v>
      </c>
      <c r="AG188" s="136"/>
    </row>
    <row r="189" spans="1:33" ht="18.75" customHeight="1" x14ac:dyDescent="0.3">
      <c r="A189" s="344">
        <v>243685</v>
      </c>
      <c r="B189" s="136"/>
      <c r="C189" s="136"/>
      <c r="D189" s="136"/>
      <c r="E189" s="136"/>
      <c r="F189" s="136"/>
      <c r="G189" s="136"/>
      <c r="H189" s="136"/>
      <c r="I189" s="136"/>
      <c r="J189" s="136"/>
      <c r="K189" s="136"/>
      <c r="L189" s="136"/>
      <c r="M189" s="136"/>
      <c r="N189" s="136"/>
      <c r="O189" s="136"/>
      <c r="P189" s="136"/>
      <c r="Q189" s="136"/>
      <c r="R189" s="136"/>
      <c r="S189" s="136"/>
      <c r="T189" s="136"/>
      <c r="U189" s="136"/>
      <c r="V189" s="136"/>
      <c r="W189" s="136"/>
      <c r="X189" s="136"/>
      <c r="Y189" s="136"/>
      <c r="Z189" s="136"/>
      <c r="AA189" s="136"/>
      <c r="AB189" s="136"/>
      <c r="AC189" s="136"/>
      <c r="AD189" s="136"/>
      <c r="AE189" s="329">
        <f t="shared" si="29"/>
        <v>0</v>
      </c>
      <c r="AF189" s="315" t="s">
        <v>518</v>
      </c>
      <c r="AG189" s="136"/>
    </row>
    <row r="190" spans="1:33" ht="18.75" customHeight="1" x14ac:dyDescent="0.3">
      <c r="A190" s="344">
        <v>243685</v>
      </c>
      <c r="B190" s="136"/>
      <c r="C190" s="136"/>
      <c r="D190" s="136"/>
      <c r="E190" s="136"/>
      <c r="F190" s="136"/>
      <c r="G190" s="136"/>
      <c r="H190" s="136"/>
      <c r="I190" s="136"/>
      <c r="J190" s="136"/>
      <c r="K190" s="136"/>
      <c r="L190" s="136"/>
      <c r="M190" s="136"/>
      <c r="N190" s="136"/>
      <c r="O190" s="136"/>
      <c r="P190" s="136"/>
      <c r="Q190" s="136"/>
      <c r="R190" s="136"/>
      <c r="S190" s="136"/>
      <c r="T190" s="136"/>
      <c r="U190" s="136"/>
      <c r="V190" s="136"/>
      <c r="W190" s="136"/>
      <c r="X190" s="136"/>
      <c r="Y190" s="136"/>
      <c r="Z190" s="136"/>
      <c r="AA190" s="136"/>
      <c r="AB190" s="136"/>
      <c r="AC190" s="136"/>
      <c r="AD190" s="136"/>
      <c r="AE190" s="329">
        <f t="shared" si="29"/>
        <v>0</v>
      </c>
      <c r="AF190" s="315" t="s">
        <v>519</v>
      </c>
      <c r="AG190" s="136"/>
    </row>
    <row r="191" spans="1:33" ht="18.75" customHeight="1" x14ac:dyDescent="0.3">
      <c r="A191" s="344">
        <v>243685</v>
      </c>
      <c r="B191" s="136"/>
      <c r="C191" s="136"/>
      <c r="D191" s="136"/>
      <c r="E191" s="136"/>
      <c r="F191" s="136"/>
      <c r="G191" s="136"/>
      <c r="H191" s="136"/>
      <c r="I191" s="136"/>
      <c r="J191" s="136"/>
      <c r="K191" s="136"/>
      <c r="L191" s="136"/>
      <c r="M191" s="136"/>
      <c r="N191" s="136"/>
      <c r="O191" s="136"/>
      <c r="P191" s="136"/>
      <c r="Q191" s="136"/>
      <c r="R191" s="136"/>
      <c r="S191" s="136"/>
      <c r="T191" s="136"/>
      <c r="U191" s="136"/>
      <c r="V191" s="136"/>
      <c r="W191" s="136"/>
      <c r="X191" s="136"/>
      <c r="Y191" s="136"/>
      <c r="Z191" s="136"/>
      <c r="AA191" s="136"/>
      <c r="AB191" s="136"/>
      <c r="AC191" s="136"/>
      <c r="AD191" s="136"/>
      <c r="AE191" s="329">
        <f t="shared" ref="AE191:AE222" si="36">SUM(B191:AD191)</f>
        <v>0</v>
      </c>
      <c r="AF191" s="315" t="s">
        <v>520</v>
      </c>
      <c r="AG191" s="136"/>
    </row>
    <row r="192" spans="1:33" ht="18.75" customHeight="1" x14ac:dyDescent="0.3">
      <c r="A192" s="344">
        <v>45362</v>
      </c>
      <c r="B192" s="136"/>
      <c r="C192" s="136"/>
      <c r="D192" s="136"/>
      <c r="E192" s="136"/>
      <c r="F192" s="136"/>
      <c r="G192" s="136"/>
      <c r="H192" s="136"/>
      <c r="I192" s="136"/>
      <c r="J192" s="136"/>
      <c r="K192" s="136"/>
      <c r="L192" s="136"/>
      <c r="M192" s="136"/>
      <c r="N192" s="136"/>
      <c r="O192" s="136"/>
      <c r="P192" s="136"/>
      <c r="Q192" s="136"/>
      <c r="R192" s="136"/>
      <c r="S192" s="136"/>
      <c r="T192" s="136"/>
      <c r="U192" s="136"/>
      <c r="V192" s="136"/>
      <c r="W192" s="136"/>
      <c r="X192" s="136"/>
      <c r="Y192" s="136"/>
      <c r="Z192" s="136"/>
      <c r="AA192" s="136"/>
      <c r="AB192" s="136"/>
      <c r="AC192" s="136"/>
      <c r="AD192" s="136"/>
      <c r="AE192" s="329">
        <f t="shared" si="36"/>
        <v>0</v>
      </c>
      <c r="AF192" s="315" t="s">
        <v>521</v>
      </c>
      <c r="AG192" s="136"/>
    </row>
    <row r="193" spans="1:33" ht="18.75" customHeight="1" x14ac:dyDescent="0.3">
      <c r="A193" s="344">
        <v>45363</v>
      </c>
      <c r="B193" s="136"/>
      <c r="C193" s="136"/>
      <c r="D193" s="136"/>
      <c r="E193" s="136"/>
      <c r="F193" s="136"/>
      <c r="G193" s="136"/>
      <c r="H193" s="136"/>
      <c r="I193" s="136"/>
      <c r="J193" s="136"/>
      <c r="K193" s="136"/>
      <c r="L193" s="136"/>
      <c r="M193" s="136"/>
      <c r="N193" s="136"/>
      <c r="O193" s="136"/>
      <c r="P193" s="136"/>
      <c r="Q193" s="136"/>
      <c r="R193" s="136"/>
      <c r="S193" s="136"/>
      <c r="T193" s="136"/>
      <c r="U193" s="136"/>
      <c r="V193" s="136"/>
      <c r="W193" s="136"/>
      <c r="X193" s="136"/>
      <c r="Y193" s="136"/>
      <c r="Z193" s="136"/>
      <c r="AA193" s="136"/>
      <c r="AB193" s="136"/>
      <c r="AC193" s="136"/>
      <c r="AD193" s="136"/>
      <c r="AE193" s="329">
        <f t="shared" si="36"/>
        <v>0</v>
      </c>
      <c r="AF193" s="315" t="s">
        <v>522</v>
      </c>
      <c r="AG193" s="136"/>
    </row>
    <row r="194" spans="1:33" ht="18.75" customHeight="1" x14ac:dyDescent="0.3">
      <c r="A194" s="344">
        <v>45364</v>
      </c>
      <c r="B194" s="136"/>
      <c r="C194" s="136"/>
      <c r="D194" s="136"/>
      <c r="E194" s="136"/>
      <c r="F194" s="136"/>
      <c r="G194" s="136"/>
      <c r="H194" s="136"/>
      <c r="I194" s="136"/>
      <c r="J194" s="136"/>
      <c r="K194" s="136"/>
      <c r="L194" s="136"/>
      <c r="M194" s="136"/>
      <c r="N194" s="136"/>
      <c r="O194" s="136"/>
      <c r="P194" s="136"/>
      <c r="Q194" s="136"/>
      <c r="R194" s="136"/>
      <c r="S194" s="136"/>
      <c r="T194" s="136"/>
      <c r="U194" s="136"/>
      <c r="V194" s="136"/>
      <c r="W194" s="136"/>
      <c r="X194" s="136"/>
      <c r="Y194" s="136"/>
      <c r="Z194" s="136"/>
      <c r="AA194" s="136"/>
      <c r="AB194" s="136"/>
      <c r="AC194" s="136"/>
      <c r="AD194" s="136"/>
      <c r="AE194" s="329">
        <f t="shared" si="36"/>
        <v>0</v>
      </c>
      <c r="AF194" s="315" t="s">
        <v>523</v>
      </c>
      <c r="AG194" s="136"/>
    </row>
    <row r="195" spans="1:33" ht="18.75" customHeight="1" x14ac:dyDescent="0.3">
      <c r="A195" s="344">
        <v>45364</v>
      </c>
      <c r="B195" s="136"/>
      <c r="C195" s="136"/>
      <c r="D195" s="136"/>
      <c r="E195" s="136"/>
      <c r="F195" s="136"/>
      <c r="G195" s="136"/>
      <c r="H195" s="136"/>
      <c r="I195" s="136"/>
      <c r="J195" s="136"/>
      <c r="K195" s="136"/>
      <c r="L195" s="136"/>
      <c r="M195" s="136"/>
      <c r="N195" s="136"/>
      <c r="O195" s="136"/>
      <c r="P195" s="136"/>
      <c r="Q195" s="136"/>
      <c r="R195" s="136"/>
      <c r="S195" s="136"/>
      <c r="T195" s="136"/>
      <c r="U195" s="136"/>
      <c r="V195" s="136"/>
      <c r="W195" s="136"/>
      <c r="X195" s="136"/>
      <c r="Y195" s="136"/>
      <c r="Z195" s="136"/>
      <c r="AA195" s="136"/>
      <c r="AB195" s="136"/>
      <c r="AC195" s="136"/>
      <c r="AD195" s="136"/>
      <c r="AE195" s="329">
        <f t="shared" si="36"/>
        <v>0</v>
      </c>
      <c r="AF195" s="315" t="s">
        <v>524</v>
      </c>
      <c r="AG195" s="136"/>
    </row>
    <row r="196" spans="1:33" ht="18.75" customHeight="1" x14ac:dyDescent="0.3">
      <c r="A196" s="344">
        <v>45364</v>
      </c>
      <c r="B196" s="136"/>
      <c r="C196" s="136"/>
      <c r="D196" s="136"/>
      <c r="E196" s="136"/>
      <c r="F196" s="136"/>
      <c r="G196" s="136"/>
      <c r="H196" s="136"/>
      <c r="I196" s="136"/>
      <c r="J196" s="136"/>
      <c r="K196" s="136"/>
      <c r="L196" s="136"/>
      <c r="M196" s="136"/>
      <c r="N196" s="136"/>
      <c r="O196" s="136"/>
      <c r="P196" s="136"/>
      <c r="Q196" s="136"/>
      <c r="R196" s="136"/>
      <c r="S196" s="136"/>
      <c r="T196" s="136"/>
      <c r="U196" s="136"/>
      <c r="V196" s="136"/>
      <c r="W196" s="136"/>
      <c r="X196" s="136"/>
      <c r="Y196" s="136"/>
      <c r="Z196" s="136"/>
      <c r="AA196" s="136"/>
      <c r="AB196" s="136"/>
      <c r="AC196" s="136"/>
      <c r="AD196" s="136"/>
      <c r="AE196" s="329">
        <f t="shared" si="36"/>
        <v>0</v>
      </c>
      <c r="AF196" s="315" t="s">
        <v>525</v>
      </c>
      <c r="AG196" s="136"/>
    </row>
    <row r="197" spans="1:33" ht="18.75" customHeight="1" x14ac:dyDescent="0.3">
      <c r="A197" s="344">
        <v>45366</v>
      </c>
      <c r="B197" s="136"/>
      <c r="C197" s="136"/>
      <c r="D197" s="136"/>
      <c r="E197" s="136"/>
      <c r="F197" s="136"/>
      <c r="G197" s="136"/>
      <c r="H197" s="136"/>
      <c r="I197" s="136"/>
      <c r="J197" s="136"/>
      <c r="K197" s="136"/>
      <c r="L197" s="136"/>
      <c r="M197" s="136"/>
      <c r="N197" s="136"/>
      <c r="O197" s="136"/>
      <c r="P197" s="136"/>
      <c r="Q197" s="136"/>
      <c r="R197" s="136"/>
      <c r="S197" s="136"/>
      <c r="T197" s="136"/>
      <c r="U197" s="136"/>
      <c r="V197" s="136"/>
      <c r="W197" s="136"/>
      <c r="X197" s="136"/>
      <c r="Y197" s="136"/>
      <c r="Z197" s="136"/>
      <c r="AA197" s="136"/>
      <c r="AB197" s="136"/>
      <c r="AC197" s="136"/>
      <c r="AD197" s="136"/>
      <c r="AE197" s="329">
        <f t="shared" si="36"/>
        <v>0</v>
      </c>
      <c r="AF197" s="315" t="s">
        <v>526</v>
      </c>
      <c r="AG197" s="136"/>
    </row>
    <row r="198" spans="1:33" ht="18.75" customHeight="1" x14ac:dyDescent="0.3">
      <c r="A198" s="344">
        <v>45366</v>
      </c>
      <c r="B198" s="136"/>
      <c r="C198" s="136"/>
      <c r="D198" s="136"/>
      <c r="E198" s="136"/>
      <c r="F198" s="136"/>
      <c r="G198" s="136"/>
      <c r="H198" s="136"/>
      <c r="I198" s="136"/>
      <c r="J198" s="136"/>
      <c r="K198" s="136"/>
      <c r="L198" s="136"/>
      <c r="M198" s="136"/>
      <c r="N198" s="136"/>
      <c r="O198" s="136"/>
      <c r="P198" s="136"/>
      <c r="Q198" s="136"/>
      <c r="R198" s="136"/>
      <c r="S198" s="136"/>
      <c r="T198" s="136"/>
      <c r="U198" s="136"/>
      <c r="V198" s="136"/>
      <c r="W198" s="136"/>
      <c r="X198" s="136"/>
      <c r="Y198" s="136"/>
      <c r="Z198" s="136"/>
      <c r="AA198" s="136"/>
      <c r="AB198" s="136"/>
      <c r="AC198" s="136"/>
      <c r="AD198" s="136"/>
      <c r="AE198" s="329">
        <f t="shared" si="36"/>
        <v>0</v>
      </c>
      <c r="AF198" s="315" t="s">
        <v>527</v>
      </c>
      <c r="AG198" s="136"/>
    </row>
    <row r="199" spans="1:33" ht="18.75" customHeight="1" x14ac:dyDescent="0.3">
      <c r="A199" s="344">
        <v>45371</v>
      </c>
      <c r="B199" s="136"/>
      <c r="C199" s="136"/>
      <c r="D199" s="136"/>
      <c r="E199" s="136"/>
      <c r="F199" s="136"/>
      <c r="G199" s="136"/>
      <c r="H199" s="136"/>
      <c r="I199" s="136"/>
      <c r="J199" s="136"/>
      <c r="K199" s="136"/>
      <c r="L199" s="136"/>
      <c r="M199" s="136"/>
      <c r="N199" s="136"/>
      <c r="O199" s="136"/>
      <c r="P199" s="136"/>
      <c r="Q199" s="136"/>
      <c r="R199" s="136"/>
      <c r="S199" s="136"/>
      <c r="T199" s="136"/>
      <c r="U199" s="136"/>
      <c r="V199" s="136"/>
      <c r="W199" s="136"/>
      <c r="X199" s="136"/>
      <c r="Y199" s="136"/>
      <c r="Z199" s="136"/>
      <c r="AA199" s="136"/>
      <c r="AB199" s="136"/>
      <c r="AC199" s="136"/>
      <c r="AD199" s="136"/>
      <c r="AE199" s="329">
        <f t="shared" si="36"/>
        <v>0</v>
      </c>
      <c r="AF199" s="315" t="s">
        <v>528</v>
      </c>
      <c r="AG199" s="136"/>
    </row>
    <row r="200" spans="1:33" ht="18.75" customHeight="1" x14ac:dyDescent="0.3">
      <c r="A200" s="344">
        <v>45371</v>
      </c>
      <c r="B200" s="136"/>
      <c r="C200" s="136"/>
      <c r="D200" s="136"/>
      <c r="E200" s="136"/>
      <c r="F200" s="136"/>
      <c r="G200" s="136"/>
      <c r="H200" s="136"/>
      <c r="I200" s="136"/>
      <c r="J200" s="136"/>
      <c r="K200" s="136"/>
      <c r="L200" s="136"/>
      <c r="M200" s="136"/>
      <c r="N200" s="136"/>
      <c r="O200" s="136"/>
      <c r="P200" s="136"/>
      <c r="Q200" s="136"/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  <c r="AB200" s="136"/>
      <c r="AC200" s="136"/>
      <c r="AD200" s="136"/>
      <c r="AE200" s="329">
        <f t="shared" si="36"/>
        <v>0</v>
      </c>
      <c r="AF200" s="345" t="s">
        <v>529</v>
      </c>
      <c r="AG200" s="136"/>
    </row>
    <row r="201" spans="1:33" ht="18.75" customHeight="1" x14ac:dyDescent="0.3">
      <c r="A201" s="344">
        <v>45372</v>
      </c>
      <c r="B201" s="136"/>
      <c r="C201" s="136"/>
      <c r="D201" s="136"/>
      <c r="E201" s="136"/>
      <c r="F201" s="136"/>
      <c r="G201" s="136"/>
      <c r="H201" s="136"/>
      <c r="I201" s="136"/>
      <c r="J201" s="136"/>
      <c r="K201" s="136"/>
      <c r="L201" s="136"/>
      <c r="M201" s="136"/>
      <c r="N201" s="136"/>
      <c r="O201" s="136"/>
      <c r="P201" s="136"/>
      <c r="Q201" s="136"/>
      <c r="R201" s="136"/>
      <c r="S201" s="136"/>
      <c r="T201" s="136"/>
      <c r="U201" s="136"/>
      <c r="V201" s="136"/>
      <c r="W201" s="136"/>
      <c r="X201" s="136"/>
      <c r="Y201" s="136"/>
      <c r="Z201" s="136"/>
      <c r="AA201" s="136"/>
      <c r="AB201" s="136"/>
      <c r="AC201" s="136"/>
      <c r="AD201" s="136"/>
      <c r="AE201" s="329">
        <f t="shared" si="36"/>
        <v>0</v>
      </c>
      <c r="AF201" s="315" t="s">
        <v>530</v>
      </c>
      <c r="AG201" s="136"/>
    </row>
    <row r="202" spans="1:33" ht="18.75" customHeight="1" x14ac:dyDescent="0.3">
      <c r="A202" s="344">
        <v>45372</v>
      </c>
      <c r="B202" s="136"/>
      <c r="C202" s="136"/>
      <c r="D202" s="136"/>
      <c r="E202" s="136"/>
      <c r="F202" s="136"/>
      <c r="G202" s="136"/>
      <c r="H202" s="136"/>
      <c r="I202" s="136"/>
      <c r="J202" s="136"/>
      <c r="K202" s="136"/>
      <c r="L202" s="136"/>
      <c r="M202" s="136"/>
      <c r="N202" s="136"/>
      <c r="O202" s="136"/>
      <c r="P202" s="136"/>
      <c r="Q202" s="136"/>
      <c r="R202" s="136"/>
      <c r="S202" s="136"/>
      <c r="T202" s="136"/>
      <c r="U202" s="136"/>
      <c r="V202" s="136"/>
      <c r="W202" s="136"/>
      <c r="X202" s="136"/>
      <c r="Y202" s="136"/>
      <c r="Z202" s="136"/>
      <c r="AA202" s="136"/>
      <c r="AB202" s="136"/>
      <c r="AC202" s="136"/>
      <c r="AD202" s="136"/>
      <c r="AE202" s="329">
        <f t="shared" si="36"/>
        <v>0</v>
      </c>
      <c r="AF202" s="315" t="s">
        <v>531</v>
      </c>
      <c r="AG202" s="136"/>
    </row>
    <row r="203" spans="1:33" ht="18.75" customHeight="1" x14ac:dyDescent="0.3">
      <c r="A203" s="344">
        <v>45372</v>
      </c>
      <c r="B203" s="136"/>
      <c r="C203" s="136"/>
      <c r="D203" s="136"/>
      <c r="E203" s="136"/>
      <c r="F203" s="136"/>
      <c r="G203" s="136"/>
      <c r="H203" s="136"/>
      <c r="I203" s="136"/>
      <c r="J203" s="136"/>
      <c r="K203" s="136"/>
      <c r="L203" s="136"/>
      <c r="M203" s="136"/>
      <c r="N203" s="136"/>
      <c r="O203" s="136"/>
      <c r="P203" s="136"/>
      <c r="Q203" s="136"/>
      <c r="R203" s="136"/>
      <c r="S203" s="136"/>
      <c r="T203" s="136"/>
      <c r="U203" s="136"/>
      <c r="V203" s="136"/>
      <c r="W203" s="136"/>
      <c r="X203" s="136"/>
      <c r="Y203" s="136"/>
      <c r="Z203" s="136"/>
      <c r="AA203" s="136"/>
      <c r="AB203" s="136"/>
      <c r="AC203" s="136"/>
      <c r="AD203" s="136"/>
      <c r="AE203" s="329">
        <f t="shared" si="36"/>
        <v>0</v>
      </c>
      <c r="AF203" s="315" t="s">
        <v>532</v>
      </c>
      <c r="AG203" s="136"/>
    </row>
    <row r="204" spans="1:33" ht="18.75" customHeight="1" x14ac:dyDescent="0.3">
      <c r="A204" s="344">
        <v>45372</v>
      </c>
      <c r="B204" s="136"/>
      <c r="C204" s="136"/>
      <c r="D204" s="136"/>
      <c r="E204" s="136"/>
      <c r="F204" s="136"/>
      <c r="G204" s="136"/>
      <c r="H204" s="136"/>
      <c r="I204" s="136"/>
      <c r="J204" s="136"/>
      <c r="K204" s="136"/>
      <c r="L204" s="136"/>
      <c r="M204" s="136"/>
      <c r="N204" s="136"/>
      <c r="O204" s="136"/>
      <c r="P204" s="136"/>
      <c r="Q204" s="136"/>
      <c r="R204" s="136"/>
      <c r="S204" s="136"/>
      <c r="T204" s="136"/>
      <c r="U204" s="136"/>
      <c r="V204" s="136"/>
      <c r="W204" s="136"/>
      <c r="X204" s="136"/>
      <c r="Y204" s="136"/>
      <c r="Z204" s="136"/>
      <c r="AA204" s="136"/>
      <c r="AB204" s="136"/>
      <c r="AC204" s="136"/>
      <c r="AD204" s="136"/>
      <c r="AE204" s="329">
        <f t="shared" si="36"/>
        <v>0</v>
      </c>
      <c r="AF204" s="315" t="s">
        <v>533</v>
      </c>
      <c r="AG204" s="136"/>
    </row>
    <row r="205" spans="1:33" ht="18.75" customHeight="1" x14ac:dyDescent="0.3">
      <c r="A205" s="330">
        <v>45372</v>
      </c>
      <c r="B205" s="136"/>
      <c r="C205" s="136"/>
      <c r="D205" s="136"/>
      <c r="E205" s="136"/>
      <c r="F205" s="136"/>
      <c r="G205" s="136"/>
      <c r="H205" s="136"/>
      <c r="I205" s="136"/>
      <c r="J205" s="136"/>
      <c r="K205" s="136"/>
      <c r="L205" s="136"/>
      <c r="M205" s="136"/>
      <c r="N205" s="136"/>
      <c r="O205" s="136"/>
      <c r="P205" s="136"/>
      <c r="Q205" s="136"/>
      <c r="R205" s="136"/>
      <c r="S205" s="136"/>
      <c r="T205" s="136"/>
      <c r="U205" s="136"/>
      <c r="V205" s="136"/>
      <c r="W205" s="136"/>
      <c r="X205" s="136"/>
      <c r="Y205" s="136"/>
      <c r="Z205" s="136"/>
      <c r="AA205" s="136"/>
      <c r="AB205" s="136"/>
      <c r="AC205" s="136"/>
      <c r="AD205" s="136"/>
      <c r="AE205" s="329">
        <f t="shared" si="36"/>
        <v>0</v>
      </c>
      <c r="AF205" s="315" t="s">
        <v>534</v>
      </c>
      <c r="AG205" s="136"/>
    </row>
    <row r="206" spans="1:33" ht="18.75" customHeight="1" x14ac:dyDescent="0.3">
      <c r="A206" s="344">
        <v>45372</v>
      </c>
      <c r="B206" s="136"/>
      <c r="C206" s="136"/>
      <c r="D206" s="136"/>
      <c r="E206" s="136"/>
      <c r="F206" s="136"/>
      <c r="G206" s="136"/>
      <c r="H206" s="136"/>
      <c r="I206" s="136"/>
      <c r="J206" s="136"/>
      <c r="K206" s="136"/>
      <c r="L206" s="136"/>
      <c r="M206" s="136"/>
      <c r="N206" s="136"/>
      <c r="O206" s="136"/>
      <c r="P206" s="136"/>
      <c r="Q206" s="136"/>
      <c r="R206" s="136"/>
      <c r="S206" s="136"/>
      <c r="T206" s="136"/>
      <c r="U206" s="136"/>
      <c r="V206" s="136"/>
      <c r="W206" s="136"/>
      <c r="X206" s="136"/>
      <c r="Y206" s="136"/>
      <c r="Z206" s="136"/>
      <c r="AA206" s="136"/>
      <c r="AB206" s="136"/>
      <c r="AC206" s="136"/>
      <c r="AD206" s="136"/>
      <c r="AE206" s="329">
        <f t="shared" si="36"/>
        <v>0</v>
      </c>
      <c r="AF206" s="315" t="s">
        <v>535</v>
      </c>
      <c r="AG206" s="136"/>
    </row>
    <row r="207" spans="1:33" ht="18.75" customHeight="1" x14ac:dyDescent="0.3">
      <c r="A207" s="344">
        <v>45373</v>
      </c>
      <c r="B207" s="136"/>
      <c r="C207" s="136"/>
      <c r="D207" s="136"/>
      <c r="E207" s="136"/>
      <c r="F207" s="136"/>
      <c r="G207" s="136"/>
      <c r="H207" s="136"/>
      <c r="I207" s="136"/>
      <c r="J207" s="136"/>
      <c r="K207" s="136"/>
      <c r="L207" s="136"/>
      <c r="M207" s="136"/>
      <c r="N207" s="136"/>
      <c r="O207" s="136"/>
      <c r="P207" s="136"/>
      <c r="Q207" s="136"/>
      <c r="R207" s="136"/>
      <c r="S207" s="136"/>
      <c r="T207" s="136"/>
      <c r="U207" s="136"/>
      <c r="V207" s="136"/>
      <c r="W207" s="136"/>
      <c r="X207" s="136"/>
      <c r="Y207" s="136"/>
      <c r="Z207" s="136"/>
      <c r="AA207" s="136"/>
      <c r="AB207" s="136"/>
      <c r="AC207" s="136"/>
      <c r="AD207" s="136"/>
      <c r="AE207" s="329">
        <f t="shared" si="36"/>
        <v>0</v>
      </c>
      <c r="AF207" s="315" t="s">
        <v>536</v>
      </c>
      <c r="AG207" s="136"/>
    </row>
    <row r="208" spans="1:33" ht="18.75" customHeight="1" x14ac:dyDescent="0.3">
      <c r="A208" s="344">
        <v>45373</v>
      </c>
      <c r="B208" s="136"/>
      <c r="C208" s="136"/>
      <c r="D208" s="136"/>
      <c r="E208" s="136"/>
      <c r="F208" s="136"/>
      <c r="G208" s="136"/>
      <c r="H208" s="136"/>
      <c r="I208" s="136"/>
      <c r="J208" s="136"/>
      <c r="K208" s="136"/>
      <c r="L208" s="136"/>
      <c r="M208" s="136"/>
      <c r="N208" s="136"/>
      <c r="O208" s="136"/>
      <c r="P208" s="136"/>
      <c r="Q208" s="136"/>
      <c r="R208" s="136"/>
      <c r="S208" s="136"/>
      <c r="T208" s="136"/>
      <c r="U208" s="136"/>
      <c r="V208" s="136"/>
      <c r="W208" s="136"/>
      <c r="X208" s="136"/>
      <c r="Y208" s="136"/>
      <c r="Z208" s="136"/>
      <c r="AA208" s="136"/>
      <c r="AB208" s="136"/>
      <c r="AC208" s="136"/>
      <c r="AD208" s="136"/>
      <c r="AE208" s="329">
        <f t="shared" si="36"/>
        <v>0</v>
      </c>
      <c r="AF208" s="315" t="s">
        <v>537</v>
      </c>
      <c r="AG208" s="136"/>
    </row>
    <row r="209" spans="1:33" ht="18.75" customHeight="1" x14ac:dyDescent="0.3">
      <c r="A209" s="344">
        <v>45373</v>
      </c>
      <c r="B209" s="136"/>
      <c r="C209" s="136"/>
      <c r="D209" s="136"/>
      <c r="E209" s="136"/>
      <c r="F209" s="136"/>
      <c r="G209" s="136"/>
      <c r="H209" s="136"/>
      <c r="I209" s="136"/>
      <c r="J209" s="136"/>
      <c r="K209" s="136"/>
      <c r="L209" s="136"/>
      <c r="M209" s="136"/>
      <c r="N209" s="136"/>
      <c r="O209" s="136"/>
      <c r="P209" s="136"/>
      <c r="Q209" s="136"/>
      <c r="R209" s="136"/>
      <c r="S209" s="136"/>
      <c r="T209" s="136"/>
      <c r="U209" s="136"/>
      <c r="V209" s="136"/>
      <c r="W209" s="136"/>
      <c r="X209" s="136"/>
      <c r="Y209" s="136"/>
      <c r="Z209" s="136"/>
      <c r="AA209" s="136"/>
      <c r="AB209" s="136"/>
      <c r="AC209" s="136"/>
      <c r="AD209" s="136"/>
      <c r="AE209" s="329">
        <f t="shared" si="36"/>
        <v>0</v>
      </c>
      <c r="AF209" s="315" t="s">
        <v>538</v>
      </c>
      <c r="AG209" s="136"/>
    </row>
    <row r="210" spans="1:33" ht="18.75" customHeight="1" x14ac:dyDescent="0.3">
      <c r="A210" s="344">
        <v>45373</v>
      </c>
      <c r="B210" s="136"/>
      <c r="C210" s="136"/>
      <c r="D210" s="136"/>
      <c r="E210" s="136"/>
      <c r="F210" s="136"/>
      <c r="G210" s="136"/>
      <c r="H210" s="136"/>
      <c r="I210" s="136"/>
      <c r="J210" s="136"/>
      <c r="K210" s="136"/>
      <c r="L210" s="136"/>
      <c r="M210" s="136"/>
      <c r="N210" s="136"/>
      <c r="O210" s="136"/>
      <c r="P210" s="136"/>
      <c r="Q210" s="136"/>
      <c r="R210" s="136"/>
      <c r="S210" s="136"/>
      <c r="T210" s="136"/>
      <c r="U210" s="136"/>
      <c r="V210" s="136"/>
      <c r="W210" s="136"/>
      <c r="X210" s="136"/>
      <c r="Y210" s="136"/>
      <c r="Z210" s="136"/>
      <c r="AA210" s="136"/>
      <c r="AB210" s="136"/>
      <c r="AC210" s="136"/>
      <c r="AD210" s="136"/>
      <c r="AE210" s="329">
        <f t="shared" si="36"/>
        <v>0</v>
      </c>
      <c r="AF210" s="315" t="s">
        <v>539</v>
      </c>
      <c r="AG210" s="136"/>
    </row>
    <row r="211" spans="1:33" ht="18.75" customHeight="1" x14ac:dyDescent="0.3">
      <c r="A211" s="344">
        <v>45373</v>
      </c>
      <c r="B211" s="136"/>
      <c r="C211" s="136"/>
      <c r="D211" s="136"/>
      <c r="E211" s="136"/>
      <c r="F211" s="136"/>
      <c r="G211" s="136"/>
      <c r="H211" s="136"/>
      <c r="I211" s="136"/>
      <c r="J211" s="136"/>
      <c r="K211" s="136"/>
      <c r="L211" s="136"/>
      <c r="M211" s="136"/>
      <c r="N211" s="136"/>
      <c r="O211" s="136"/>
      <c r="P211" s="136"/>
      <c r="Q211" s="136"/>
      <c r="R211" s="136"/>
      <c r="S211" s="136"/>
      <c r="T211" s="136"/>
      <c r="U211" s="136"/>
      <c r="V211" s="136"/>
      <c r="W211" s="136"/>
      <c r="X211" s="136"/>
      <c r="Y211" s="136"/>
      <c r="Z211" s="136"/>
      <c r="AA211" s="136"/>
      <c r="AB211" s="136"/>
      <c r="AC211" s="136"/>
      <c r="AD211" s="136"/>
      <c r="AE211" s="329">
        <f t="shared" si="36"/>
        <v>0</v>
      </c>
      <c r="AF211" s="315" t="s">
        <v>540</v>
      </c>
      <c r="AG211" s="136"/>
    </row>
    <row r="212" spans="1:33" ht="18.75" customHeight="1" x14ac:dyDescent="0.3">
      <c r="A212" s="344">
        <v>45373</v>
      </c>
      <c r="B212" s="136"/>
      <c r="C212" s="136"/>
      <c r="D212" s="136"/>
      <c r="E212" s="136"/>
      <c r="F212" s="136"/>
      <c r="G212" s="136"/>
      <c r="H212" s="136"/>
      <c r="I212" s="136"/>
      <c r="J212" s="136"/>
      <c r="K212" s="136"/>
      <c r="L212" s="136"/>
      <c r="M212" s="136"/>
      <c r="N212" s="136"/>
      <c r="O212" s="136"/>
      <c r="P212" s="136"/>
      <c r="Q212" s="136"/>
      <c r="R212" s="136"/>
      <c r="S212" s="136"/>
      <c r="T212" s="136"/>
      <c r="U212" s="136"/>
      <c r="V212" s="136"/>
      <c r="W212" s="136"/>
      <c r="X212" s="136"/>
      <c r="Y212" s="136"/>
      <c r="Z212" s="136"/>
      <c r="AA212" s="136"/>
      <c r="AB212" s="136"/>
      <c r="AC212" s="136"/>
      <c r="AD212" s="136"/>
      <c r="AE212" s="329">
        <f t="shared" si="36"/>
        <v>0</v>
      </c>
      <c r="AF212" s="315" t="s">
        <v>541</v>
      </c>
      <c r="AG212" s="136"/>
    </row>
    <row r="213" spans="1:33" ht="18.75" customHeight="1" x14ac:dyDescent="0.3">
      <c r="A213" s="344">
        <v>45373</v>
      </c>
      <c r="B213" s="136"/>
      <c r="C213" s="136"/>
      <c r="D213" s="136"/>
      <c r="E213" s="136"/>
      <c r="F213" s="136"/>
      <c r="G213" s="136"/>
      <c r="H213" s="136"/>
      <c r="I213" s="136"/>
      <c r="J213" s="136"/>
      <c r="K213" s="136"/>
      <c r="L213" s="136"/>
      <c r="M213" s="136"/>
      <c r="N213" s="136"/>
      <c r="O213" s="136"/>
      <c r="P213" s="136"/>
      <c r="Q213" s="136"/>
      <c r="R213" s="136"/>
      <c r="S213" s="136"/>
      <c r="T213" s="136"/>
      <c r="U213" s="136"/>
      <c r="V213" s="136"/>
      <c r="W213" s="136"/>
      <c r="X213" s="136"/>
      <c r="Y213" s="136"/>
      <c r="Z213" s="136"/>
      <c r="AA213" s="136"/>
      <c r="AB213" s="136"/>
      <c r="AC213" s="136"/>
      <c r="AD213" s="136"/>
      <c r="AE213" s="329">
        <f t="shared" si="36"/>
        <v>0</v>
      </c>
      <c r="AF213" s="315" t="s">
        <v>542</v>
      </c>
      <c r="AG213" s="136"/>
    </row>
    <row r="214" spans="1:33" ht="18.75" customHeight="1" x14ac:dyDescent="0.3">
      <c r="A214" s="344">
        <v>45373</v>
      </c>
      <c r="B214" s="136"/>
      <c r="C214" s="136"/>
      <c r="D214" s="136"/>
      <c r="E214" s="136"/>
      <c r="F214" s="136"/>
      <c r="G214" s="136"/>
      <c r="H214" s="136"/>
      <c r="I214" s="136"/>
      <c r="J214" s="136"/>
      <c r="K214" s="136"/>
      <c r="L214" s="136"/>
      <c r="M214" s="136"/>
      <c r="N214" s="136"/>
      <c r="O214" s="136"/>
      <c r="P214" s="136"/>
      <c r="Q214" s="136"/>
      <c r="R214" s="136"/>
      <c r="S214" s="136"/>
      <c r="T214" s="136"/>
      <c r="U214" s="136"/>
      <c r="V214" s="136"/>
      <c r="W214" s="136"/>
      <c r="X214" s="136"/>
      <c r="Y214" s="136"/>
      <c r="Z214" s="136"/>
      <c r="AA214" s="136"/>
      <c r="AB214" s="136"/>
      <c r="AC214" s="136"/>
      <c r="AD214" s="136"/>
      <c r="AE214" s="329">
        <f t="shared" si="36"/>
        <v>0</v>
      </c>
      <c r="AF214" s="315" t="s">
        <v>543</v>
      </c>
      <c r="AG214" s="136"/>
    </row>
    <row r="215" spans="1:33" ht="18.75" customHeight="1" x14ac:dyDescent="0.3">
      <c r="A215" s="344">
        <v>45376</v>
      </c>
      <c r="B215" s="136"/>
      <c r="C215" s="136"/>
      <c r="D215" s="136"/>
      <c r="E215" s="136"/>
      <c r="F215" s="136"/>
      <c r="G215" s="136"/>
      <c r="H215" s="136"/>
      <c r="I215" s="136"/>
      <c r="J215" s="136"/>
      <c r="K215" s="136"/>
      <c r="L215" s="136"/>
      <c r="M215" s="136"/>
      <c r="N215" s="136"/>
      <c r="O215" s="136"/>
      <c r="P215" s="136"/>
      <c r="Q215" s="136"/>
      <c r="R215" s="136"/>
      <c r="S215" s="136"/>
      <c r="T215" s="136"/>
      <c r="U215" s="136"/>
      <c r="V215" s="136"/>
      <c r="W215" s="136"/>
      <c r="X215" s="136"/>
      <c r="Y215" s="136"/>
      <c r="Z215" s="136"/>
      <c r="AA215" s="136"/>
      <c r="AB215" s="136"/>
      <c r="AC215" s="136"/>
      <c r="AD215" s="136"/>
      <c r="AE215" s="329">
        <f t="shared" si="36"/>
        <v>0</v>
      </c>
      <c r="AF215" s="315" t="s">
        <v>544</v>
      </c>
      <c r="AG215" s="136"/>
    </row>
    <row r="216" spans="1:33" ht="18.75" customHeight="1" x14ac:dyDescent="0.3">
      <c r="A216" s="344">
        <v>45376</v>
      </c>
      <c r="B216" s="136"/>
      <c r="C216" s="136"/>
      <c r="D216" s="136"/>
      <c r="E216" s="136"/>
      <c r="F216" s="136"/>
      <c r="G216" s="136"/>
      <c r="H216" s="136"/>
      <c r="I216" s="136"/>
      <c r="J216" s="136"/>
      <c r="K216" s="136"/>
      <c r="L216" s="136"/>
      <c r="M216" s="136"/>
      <c r="N216" s="136"/>
      <c r="O216" s="136"/>
      <c r="P216" s="136"/>
      <c r="Q216" s="136"/>
      <c r="R216" s="136"/>
      <c r="S216" s="136"/>
      <c r="T216" s="136"/>
      <c r="U216" s="136"/>
      <c r="V216" s="136"/>
      <c r="W216" s="136"/>
      <c r="X216" s="136"/>
      <c r="Y216" s="136"/>
      <c r="Z216" s="136"/>
      <c r="AA216" s="136"/>
      <c r="AB216" s="136"/>
      <c r="AC216" s="136"/>
      <c r="AD216" s="136"/>
      <c r="AE216" s="329">
        <f t="shared" si="36"/>
        <v>0</v>
      </c>
      <c r="AF216" s="315" t="s">
        <v>544</v>
      </c>
      <c r="AG216" s="136"/>
    </row>
    <row r="217" spans="1:33" ht="18.75" customHeight="1" x14ac:dyDescent="0.3">
      <c r="A217" s="344">
        <v>45376</v>
      </c>
      <c r="B217" s="136"/>
      <c r="C217" s="136"/>
      <c r="D217" s="136"/>
      <c r="E217" s="136"/>
      <c r="F217" s="136"/>
      <c r="G217" s="136"/>
      <c r="H217" s="136"/>
      <c r="I217" s="136"/>
      <c r="J217" s="136"/>
      <c r="K217" s="136"/>
      <c r="L217" s="136"/>
      <c r="M217" s="136"/>
      <c r="N217" s="136"/>
      <c r="O217" s="136"/>
      <c r="P217" s="136"/>
      <c r="Q217" s="136"/>
      <c r="R217" s="136"/>
      <c r="S217" s="136"/>
      <c r="T217" s="136"/>
      <c r="U217" s="136"/>
      <c r="V217" s="136"/>
      <c r="W217" s="136"/>
      <c r="X217" s="136"/>
      <c r="Y217" s="136"/>
      <c r="Z217" s="136"/>
      <c r="AA217" s="136"/>
      <c r="AB217" s="136"/>
      <c r="AC217" s="136"/>
      <c r="AD217" s="136"/>
      <c r="AE217" s="329">
        <f t="shared" si="36"/>
        <v>0</v>
      </c>
      <c r="AF217" s="315" t="s">
        <v>545</v>
      </c>
      <c r="AG217" s="136"/>
    </row>
    <row r="218" spans="1:33" ht="18.75" customHeight="1" x14ac:dyDescent="0.3">
      <c r="A218" s="344">
        <v>45376</v>
      </c>
      <c r="B218" s="136"/>
      <c r="C218" s="136"/>
      <c r="D218" s="136"/>
      <c r="E218" s="136"/>
      <c r="F218" s="136"/>
      <c r="G218" s="136"/>
      <c r="H218" s="136"/>
      <c r="I218" s="136"/>
      <c r="J218" s="136"/>
      <c r="K218" s="136"/>
      <c r="L218" s="136"/>
      <c r="M218" s="136"/>
      <c r="N218" s="136"/>
      <c r="O218" s="136"/>
      <c r="P218" s="136"/>
      <c r="Q218" s="136"/>
      <c r="R218" s="136"/>
      <c r="S218" s="136"/>
      <c r="T218" s="136"/>
      <c r="U218" s="136"/>
      <c r="V218" s="136"/>
      <c r="W218" s="136"/>
      <c r="X218" s="136"/>
      <c r="Y218" s="136"/>
      <c r="Z218" s="136"/>
      <c r="AA218" s="136"/>
      <c r="AB218" s="136"/>
      <c r="AC218" s="136"/>
      <c r="AD218" s="136"/>
      <c r="AE218" s="329">
        <f t="shared" si="36"/>
        <v>0</v>
      </c>
      <c r="AF218" s="315" t="s">
        <v>546</v>
      </c>
      <c r="AG218" s="136"/>
    </row>
    <row r="219" spans="1:33" ht="18.75" customHeight="1" x14ac:dyDescent="0.3">
      <c r="A219" s="344">
        <v>45378</v>
      </c>
      <c r="B219" s="136"/>
      <c r="C219" s="136"/>
      <c r="D219" s="136"/>
      <c r="E219" s="136"/>
      <c r="F219" s="136"/>
      <c r="G219" s="136"/>
      <c r="H219" s="136"/>
      <c r="I219" s="136"/>
      <c r="J219" s="136"/>
      <c r="K219" s="136"/>
      <c r="L219" s="136"/>
      <c r="M219" s="136"/>
      <c r="N219" s="136"/>
      <c r="O219" s="136"/>
      <c r="P219" s="136"/>
      <c r="Q219" s="136"/>
      <c r="R219" s="136"/>
      <c r="S219" s="136"/>
      <c r="T219" s="136"/>
      <c r="U219" s="136"/>
      <c r="V219" s="136"/>
      <c r="W219" s="136"/>
      <c r="X219" s="136"/>
      <c r="Y219" s="136"/>
      <c r="Z219" s="136"/>
      <c r="AA219" s="136"/>
      <c r="AB219" s="136"/>
      <c r="AC219" s="136"/>
      <c r="AD219" s="136"/>
      <c r="AE219" s="329">
        <f t="shared" si="36"/>
        <v>0</v>
      </c>
      <c r="AF219" s="315" t="s">
        <v>547</v>
      </c>
      <c r="AG219" s="136"/>
    </row>
    <row r="220" spans="1:33" ht="18.75" customHeight="1" x14ac:dyDescent="0.3">
      <c r="A220" s="344">
        <v>45378</v>
      </c>
      <c r="B220" s="136"/>
      <c r="C220" s="136"/>
      <c r="D220" s="136"/>
      <c r="E220" s="136"/>
      <c r="F220" s="136"/>
      <c r="G220" s="136"/>
      <c r="H220" s="136"/>
      <c r="I220" s="136"/>
      <c r="J220" s="136"/>
      <c r="K220" s="136"/>
      <c r="L220" s="136"/>
      <c r="M220" s="136"/>
      <c r="N220" s="136"/>
      <c r="O220" s="136"/>
      <c r="P220" s="136"/>
      <c r="Q220" s="136"/>
      <c r="R220" s="136"/>
      <c r="S220" s="136"/>
      <c r="T220" s="136"/>
      <c r="U220" s="136"/>
      <c r="V220" s="136"/>
      <c r="W220" s="136"/>
      <c r="X220" s="136"/>
      <c r="Y220" s="136"/>
      <c r="Z220" s="136"/>
      <c r="AA220" s="136"/>
      <c r="AB220" s="136"/>
      <c r="AC220" s="136"/>
      <c r="AD220" s="136"/>
      <c r="AE220" s="329">
        <f t="shared" si="36"/>
        <v>0</v>
      </c>
      <c r="AF220" s="315" t="s">
        <v>548</v>
      </c>
      <c r="AG220" s="136"/>
    </row>
    <row r="221" spans="1:33" ht="18.75" customHeight="1" x14ac:dyDescent="0.3">
      <c r="A221" s="344">
        <v>45379</v>
      </c>
      <c r="B221" s="136"/>
      <c r="C221" s="136"/>
      <c r="D221" s="136"/>
      <c r="E221" s="136"/>
      <c r="F221" s="136"/>
      <c r="G221" s="136"/>
      <c r="H221" s="136"/>
      <c r="I221" s="136"/>
      <c r="J221" s="136"/>
      <c r="K221" s="136"/>
      <c r="L221" s="136"/>
      <c r="M221" s="136"/>
      <c r="N221" s="136"/>
      <c r="O221" s="136"/>
      <c r="P221" s="136"/>
      <c r="Q221" s="136"/>
      <c r="R221" s="136"/>
      <c r="S221" s="136"/>
      <c r="T221" s="136"/>
      <c r="U221" s="136"/>
      <c r="V221" s="136"/>
      <c r="W221" s="136"/>
      <c r="X221" s="136"/>
      <c r="Y221" s="136"/>
      <c r="Z221" s="136"/>
      <c r="AA221" s="136"/>
      <c r="AB221" s="136"/>
      <c r="AC221" s="136"/>
      <c r="AD221" s="136"/>
      <c r="AE221" s="329">
        <f t="shared" si="36"/>
        <v>0</v>
      </c>
      <c r="AF221" s="315" t="s">
        <v>549</v>
      </c>
      <c r="AG221" s="136"/>
    </row>
    <row r="222" spans="1:33" ht="18.75" customHeight="1" x14ac:dyDescent="0.3">
      <c r="A222" s="344">
        <v>45380</v>
      </c>
      <c r="B222" s="136"/>
      <c r="C222" s="136"/>
      <c r="D222" s="136"/>
      <c r="E222" s="136"/>
      <c r="F222" s="136"/>
      <c r="G222" s="136"/>
      <c r="H222" s="136"/>
      <c r="I222" s="136"/>
      <c r="J222" s="136"/>
      <c r="K222" s="136"/>
      <c r="L222" s="136"/>
      <c r="M222" s="136"/>
      <c r="N222" s="136"/>
      <c r="O222" s="136"/>
      <c r="P222" s="136"/>
      <c r="Q222" s="136"/>
      <c r="R222" s="136"/>
      <c r="S222" s="136"/>
      <c r="T222" s="136"/>
      <c r="U222" s="136"/>
      <c r="V222" s="136"/>
      <c r="W222" s="136"/>
      <c r="X222" s="136"/>
      <c r="Y222" s="136"/>
      <c r="Z222" s="136"/>
      <c r="AA222" s="136"/>
      <c r="AB222" s="136"/>
      <c r="AC222" s="136"/>
      <c r="AD222" s="136"/>
      <c r="AE222" s="329">
        <f t="shared" si="36"/>
        <v>0</v>
      </c>
      <c r="AF222" s="315" t="s">
        <v>550</v>
      </c>
      <c r="AG222" s="136"/>
    </row>
    <row r="223" spans="1:33" ht="18.75" customHeight="1" x14ac:dyDescent="0.3">
      <c r="A223" s="344">
        <v>45380</v>
      </c>
      <c r="B223" s="136"/>
      <c r="C223" s="136"/>
      <c r="D223" s="136"/>
      <c r="E223" s="136"/>
      <c r="F223" s="136"/>
      <c r="G223" s="136"/>
      <c r="H223" s="136"/>
      <c r="I223" s="136"/>
      <c r="J223" s="136"/>
      <c r="K223" s="136"/>
      <c r="L223" s="136"/>
      <c r="M223" s="136"/>
      <c r="N223" s="136"/>
      <c r="O223" s="136"/>
      <c r="P223" s="136"/>
      <c r="Q223" s="136"/>
      <c r="R223" s="136"/>
      <c r="S223" s="136"/>
      <c r="T223" s="136"/>
      <c r="U223" s="136"/>
      <c r="V223" s="136"/>
      <c r="W223" s="136"/>
      <c r="X223" s="136"/>
      <c r="Y223" s="136"/>
      <c r="Z223" s="136"/>
      <c r="AA223" s="136"/>
      <c r="AB223" s="136"/>
      <c r="AC223" s="136"/>
      <c r="AD223" s="136"/>
      <c r="AE223" s="329">
        <f t="shared" ref="AE223:AE230" si="37">SUM(B223:AD223)</f>
        <v>0</v>
      </c>
      <c r="AF223" s="315" t="s">
        <v>551</v>
      </c>
      <c r="AG223" s="136"/>
    </row>
    <row r="224" spans="1:33" ht="18.75" customHeight="1" x14ac:dyDescent="0.3">
      <c r="A224" s="281"/>
      <c r="B224" s="136"/>
      <c r="C224" s="136"/>
      <c r="D224" s="136"/>
      <c r="E224" s="136"/>
      <c r="F224" s="136"/>
      <c r="G224" s="136"/>
      <c r="H224" s="136"/>
      <c r="I224" s="136"/>
      <c r="J224" s="136"/>
      <c r="K224" s="136"/>
      <c r="L224" s="136"/>
      <c r="M224" s="136"/>
      <c r="N224" s="136"/>
      <c r="O224" s="136"/>
      <c r="P224" s="136"/>
      <c r="Q224" s="136"/>
      <c r="R224" s="136"/>
      <c r="S224" s="136"/>
      <c r="T224" s="136"/>
      <c r="U224" s="136"/>
      <c r="V224" s="136"/>
      <c r="W224" s="136"/>
      <c r="X224" s="136"/>
      <c r="Y224" s="136"/>
      <c r="Z224" s="136"/>
      <c r="AA224" s="136"/>
      <c r="AB224" s="136"/>
      <c r="AC224" s="136"/>
      <c r="AD224" s="136"/>
      <c r="AE224" s="329">
        <f t="shared" si="37"/>
        <v>0</v>
      </c>
      <c r="AF224" s="272"/>
      <c r="AG224" s="136"/>
    </row>
    <row r="225" spans="1:33" ht="18.75" customHeight="1" x14ac:dyDescent="0.3">
      <c r="A225" s="281"/>
      <c r="B225" s="136"/>
      <c r="C225" s="136"/>
      <c r="D225" s="136"/>
      <c r="E225" s="136"/>
      <c r="F225" s="136"/>
      <c r="G225" s="136"/>
      <c r="H225" s="136"/>
      <c r="I225" s="136"/>
      <c r="J225" s="136"/>
      <c r="K225" s="136"/>
      <c r="L225" s="136"/>
      <c r="M225" s="136"/>
      <c r="N225" s="136"/>
      <c r="O225" s="136"/>
      <c r="P225" s="136"/>
      <c r="Q225" s="136"/>
      <c r="R225" s="136"/>
      <c r="S225" s="136"/>
      <c r="T225" s="136"/>
      <c r="U225" s="136"/>
      <c r="V225" s="136"/>
      <c r="W225" s="136"/>
      <c r="X225" s="136"/>
      <c r="Y225" s="136"/>
      <c r="Z225" s="136"/>
      <c r="AA225" s="136"/>
      <c r="AB225" s="136"/>
      <c r="AC225" s="136"/>
      <c r="AD225" s="136"/>
      <c r="AE225" s="329">
        <f t="shared" si="37"/>
        <v>0</v>
      </c>
      <c r="AF225" s="272"/>
      <c r="AG225" s="136"/>
    </row>
    <row r="226" spans="1:33" ht="18.75" customHeight="1" x14ac:dyDescent="0.3">
      <c r="A226" s="281"/>
      <c r="B226" s="136"/>
      <c r="C226" s="136"/>
      <c r="D226" s="136"/>
      <c r="E226" s="136"/>
      <c r="F226" s="136"/>
      <c r="G226" s="136"/>
      <c r="H226" s="136"/>
      <c r="I226" s="136"/>
      <c r="J226" s="136"/>
      <c r="K226" s="136"/>
      <c r="L226" s="136"/>
      <c r="M226" s="136"/>
      <c r="N226" s="136"/>
      <c r="O226" s="136"/>
      <c r="P226" s="136"/>
      <c r="Q226" s="136"/>
      <c r="R226" s="136"/>
      <c r="S226" s="136"/>
      <c r="T226" s="136"/>
      <c r="U226" s="136"/>
      <c r="V226" s="136"/>
      <c r="W226" s="136"/>
      <c r="X226" s="136"/>
      <c r="Y226" s="136"/>
      <c r="Z226" s="136"/>
      <c r="AA226" s="136"/>
      <c r="AB226" s="136"/>
      <c r="AC226" s="136"/>
      <c r="AD226" s="136"/>
      <c r="AE226" s="329">
        <f t="shared" si="37"/>
        <v>0</v>
      </c>
      <c r="AF226" s="272"/>
      <c r="AG226" s="136"/>
    </row>
    <row r="227" spans="1:33" ht="18.75" customHeight="1" x14ac:dyDescent="0.3">
      <c r="A227" s="281"/>
      <c r="B227" s="136"/>
      <c r="C227" s="136"/>
      <c r="D227" s="136"/>
      <c r="E227" s="136"/>
      <c r="F227" s="136"/>
      <c r="G227" s="136"/>
      <c r="H227" s="136"/>
      <c r="I227" s="136"/>
      <c r="J227" s="136"/>
      <c r="K227" s="136"/>
      <c r="L227" s="136"/>
      <c r="M227" s="136"/>
      <c r="N227" s="136"/>
      <c r="O227" s="136"/>
      <c r="P227" s="136"/>
      <c r="Q227" s="136"/>
      <c r="R227" s="136"/>
      <c r="S227" s="136"/>
      <c r="T227" s="136"/>
      <c r="U227" s="136"/>
      <c r="V227" s="136"/>
      <c r="W227" s="136"/>
      <c r="X227" s="136"/>
      <c r="Y227" s="136"/>
      <c r="Z227" s="136"/>
      <c r="AA227" s="136"/>
      <c r="AB227" s="136"/>
      <c r="AC227" s="136"/>
      <c r="AD227" s="136"/>
      <c r="AE227" s="329">
        <f t="shared" si="37"/>
        <v>0</v>
      </c>
      <c r="AF227" s="272"/>
      <c r="AG227" s="136"/>
    </row>
    <row r="228" spans="1:33" ht="18.75" customHeight="1" x14ac:dyDescent="0.3">
      <c r="A228" s="287" t="s">
        <v>233</v>
      </c>
      <c r="B228" s="279">
        <f t="shared" ref="B228:AD228" si="38">SUM(B176:B227)</f>
        <v>0</v>
      </c>
      <c r="C228" s="279">
        <f t="shared" si="38"/>
        <v>0</v>
      </c>
      <c r="D228" s="279">
        <f t="shared" si="38"/>
        <v>0</v>
      </c>
      <c r="E228" s="279">
        <f t="shared" si="38"/>
        <v>0</v>
      </c>
      <c r="F228" s="279">
        <f t="shared" si="38"/>
        <v>0</v>
      </c>
      <c r="G228" s="279">
        <f t="shared" si="38"/>
        <v>0</v>
      </c>
      <c r="H228" s="279">
        <f t="shared" si="38"/>
        <v>0</v>
      </c>
      <c r="I228" s="279">
        <f t="shared" si="38"/>
        <v>0</v>
      </c>
      <c r="J228" s="279">
        <f t="shared" si="38"/>
        <v>0</v>
      </c>
      <c r="K228" s="279">
        <f t="shared" si="38"/>
        <v>0</v>
      </c>
      <c r="L228" s="279">
        <f t="shared" si="38"/>
        <v>0</v>
      </c>
      <c r="M228" s="279">
        <f t="shared" si="38"/>
        <v>0</v>
      </c>
      <c r="N228" s="279">
        <f t="shared" si="38"/>
        <v>0</v>
      </c>
      <c r="O228" s="279">
        <f t="shared" si="38"/>
        <v>0</v>
      </c>
      <c r="P228" s="279">
        <f t="shared" si="38"/>
        <v>0</v>
      </c>
      <c r="Q228" s="279">
        <f t="shared" si="38"/>
        <v>0</v>
      </c>
      <c r="R228" s="279">
        <f t="shared" si="38"/>
        <v>0</v>
      </c>
      <c r="S228" s="279">
        <f t="shared" si="38"/>
        <v>0</v>
      </c>
      <c r="T228" s="279">
        <f t="shared" si="38"/>
        <v>0</v>
      </c>
      <c r="U228" s="279">
        <f t="shared" si="38"/>
        <v>0</v>
      </c>
      <c r="V228" s="279">
        <f t="shared" si="38"/>
        <v>0</v>
      </c>
      <c r="W228" s="279">
        <f t="shared" si="38"/>
        <v>0</v>
      </c>
      <c r="X228" s="279">
        <f t="shared" si="38"/>
        <v>0</v>
      </c>
      <c r="Y228" s="279">
        <f t="shared" si="38"/>
        <v>0</v>
      </c>
      <c r="Z228" s="279">
        <f t="shared" ref="Z228:AA228" si="39">SUM(Z176:Z227)</f>
        <v>0</v>
      </c>
      <c r="AA228" s="279">
        <f t="shared" si="39"/>
        <v>0</v>
      </c>
      <c r="AB228" s="279">
        <f t="shared" si="38"/>
        <v>0</v>
      </c>
      <c r="AC228" s="279">
        <f t="shared" si="38"/>
        <v>0</v>
      </c>
      <c r="AD228" s="279">
        <f t="shared" si="38"/>
        <v>0</v>
      </c>
      <c r="AE228" s="280">
        <f t="shared" si="37"/>
        <v>0</v>
      </c>
      <c r="AF228" s="339"/>
      <c r="AG228" s="340"/>
    </row>
    <row r="229" spans="1:33" ht="18.75" customHeight="1" x14ac:dyDescent="0.3">
      <c r="A229" s="287" t="s">
        <v>234</v>
      </c>
      <c r="B229" s="279">
        <f t="shared" ref="B229:AD229" si="40">SUM(B174+B228)</f>
        <v>51061.2</v>
      </c>
      <c r="C229" s="279">
        <f t="shared" si="40"/>
        <v>104149.33</v>
      </c>
      <c r="D229" s="279">
        <f t="shared" si="40"/>
        <v>3500</v>
      </c>
      <c r="E229" s="279">
        <f t="shared" si="40"/>
        <v>0</v>
      </c>
      <c r="F229" s="279">
        <f t="shared" si="40"/>
        <v>0</v>
      </c>
      <c r="G229" s="279">
        <f t="shared" si="40"/>
        <v>2600</v>
      </c>
      <c r="H229" s="279">
        <f t="shared" si="40"/>
        <v>0</v>
      </c>
      <c r="I229" s="279">
        <f t="shared" si="40"/>
        <v>49458</v>
      </c>
      <c r="J229" s="279">
        <f t="shared" si="40"/>
        <v>320434.92000000004</v>
      </c>
      <c r="K229" s="279">
        <f t="shared" si="40"/>
        <v>15200</v>
      </c>
      <c r="L229" s="279">
        <f t="shared" si="40"/>
        <v>66867</v>
      </c>
      <c r="M229" s="279">
        <f t="shared" si="40"/>
        <v>41505</v>
      </c>
      <c r="N229" s="279">
        <f t="shared" si="40"/>
        <v>0</v>
      </c>
      <c r="O229" s="279">
        <f t="shared" si="40"/>
        <v>0</v>
      </c>
      <c r="P229" s="279">
        <f t="shared" si="40"/>
        <v>0</v>
      </c>
      <c r="Q229" s="279">
        <f t="shared" si="40"/>
        <v>53499</v>
      </c>
      <c r="R229" s="279">
        <f t="shared" si="40"/>
        <v>27285</v>
      </c>
      <c r="S229" s="279">
        <f t="shared" si="40"/>
        <v>0</v>
      </c>
      <c r="T229" s="279">
        <f t="shared" si="40"/>
        <v>39162</v>
      </c>
      <c r="U229" s="279">
        <f t="shared" si="40"/>
        <v>270000</v>
      </c>
      <c r="V229" s="279">
        <f t="shared" si="40"/>
        <v>0</v>
      </c>
      <c r="W229" s="279">
        <f t="shared" si="40"/>
        <v>24824</v>
      </c>
      <c r="X229" s="279">
        <f t="shared" si="40"/>
        <v>75836.25</v>
      </c>
      <c r="Y229" s="279">
        <f t="shared" si="40"/>
        <v>0</v>
      </c>
      <c r="Z229" s="279">
        <f t="shared" ref="Z229:AA229" si="41">SUM(Z174+Z228)</f>
        <v>0</v>
      </c>
      <c r="AA229" s="279">
        <f t="shared" si="41"/>
        <v>0</v>
      </c>
      <c r="AB229" s="279">
        <f t="shared" si="40"/>
        <v>83280.240000000005</v>
      </c>
      <c r="AC229" s="279">
        <f t="shared" si="40"/>
        <v>131660.71</v>
      </c>
      <c r="AD229" s="279">
        <f t="shared" si="40"/>
        <v>0</v>
      </c>
      <c r="AE229" s="280">
        <f t="shared" si="37"/>
        <v>1360322.6500000001</v>
      </c>
      <c r="AF229" s="308"/>
      <c r="AG229" s="195"/>
    </row>
    <row r="230" spans="1:33" ht="18.75" customHeight="1" x14ac:dyDescent="0.3">
      <c r="A230" s="287" t="s">
        <v>235</v>
      </c>
      <c r="B230" s="279">
        <f t="shared" ref="B230:AD230" si="42">SUM(B175-B228)</f>
        <v>515738.8</v>
      </c>
      <c r="C230" s="279">
        <f t="shared" si="42"/>
        <v>45850.669999999991</v>
      </c>
      <c r="D230" s="279">
        <f t="shared" si="42"/>
        <v>324500</v>
      </c>
      <c r="E230" s="279">
        <f t="shared" si="42"/>
        <v>0</v>
      </c>
      <c r="F230" s="279">
        <f t="shared" si="42"/>
        <v>0</v>
      </c>
      <c r="G230" s="279">
        <f t="shared" si="42"/>
        <v>-2600</v>
      </c>
      <c r="H230" s="279">
        <f t="shared" si="42"/>
        <v>0</v>
      </c>
      <c r="I230" s="279">
        <f>SUM(I175-I228)</f>
        <v>198442</v>
      </c>
      <c r="J230" s="279">
        <f t="shared" si="42"/>
        <v>-320434.92000000004</v>
      </c>
      <c r="K230" s="279">
        <f t="shared" si="42"/>
        <v>-15200</v>
      </c>
      <c r="L230" s="279">
        <f t="shared" si="42"/>
        <v>183133</v>
      </c>
      <c r="M230" s="279">
        <f t="shared" si="42"/>
        <v>98495</v>
      </c>
      <c r="N230" s="279">
        <f t="shared" si="42"/>
        <v>0</v>
      </c>
      <c r="O230" s="279">
        <f t="shared" si="42"/>
        <v>0</v>
      </c>
      <c r="P230" s="279">
        <f t="shared" si="42"/>
        <v>0</v>
      </c>
      <c r="Q230" s="279">
        <f t="shared" si="42"/>
        <v>160501</v>
      </c>
      <c r="R230" s="279">
        <f t="shared" si="42"/>
        <v>361660</v>
      </c>
      <c r="S230" s="279">
        <f t="shared" si="42"/>
        <v>74900</v>
      </c>
      <c r="T230" s="279">
        <f t="shared" si="42"/>
        <v>1154497</v>
      </c>
      <c r="U230" s="279">
        <f t="shared" si="42"/>
        <v>1234800</v>
      </c>
      <c r="V230" s="279">
        <f t="shared" si="42"/>
        <v>189600</v>
      </c>
      <c r="W230" s="279">
        <f t="shared" si="42"/>
        <v>74472</v>
      </c>
      <c r="X230" s="279">
        <f t="shared" si="42"/>
        <v>84163.75</v>
      </c>
      <c r="Y230" s="279">
        <f t="shared" si="42"/>
        <v>8500000</v>
      </c>
      <c r="Z230" s="279">
        <f t="shared" ref="Z230:AA230" si="43">SUM(Z175-Z228)</f>
        <v>716400</v>
      </c>
      <c r="AA230" s="279">
        <f t="shared" si="43"/>
        <v>1113800</v>
      </c>
      <c r="AB230" s="279">
        <f t="shared" si="42"/>
        <v>91519.75999999998</v>
      </c>
      <c r="AC230" s="279">
        <f t="shared" si="42"/>
        <v>66339.290000000008</v>
      </c>
      <c r="AD230" s="279">
        <f t="shared" si="42"/>
        <v>0</v>
      </c>
      <c r="AE230" s="280">
        <f t="shared" si="37"/>
        <v>14850577.35</v>
      </c>
      <c r="AF230" s="308"/>
      <c r="AG230" s="195"/>
    </row>
    <row r="231" spans="1:33" ht="18.75" customHeight="1" x14ac:dyDescent="0.3">
      <c r="A231" s="284" t="s">
        <v>236</v>
      </c>
      <c r="B231" s="136"/>
      <c r="C231" s="136"/>
      <c r="D231" s="136"/>
      <c r="E231" s="136"/>
      <c r="F231" s="136"/>
      <c r="G231" s="136"/>
      <c r="H231" s="136"/>
      <c r="I231" s="136"/>
      <c r="J231" s="136"/>
      <c r="K231" s="136"/>
      <c r="L231" s="136"/>
      <c r="M231" s="136"/>
      <c r="N231" s="136"/>
      <c r="O231" s="136"/>
      <c r="P231" s="136"/>
      <c r="Q231" s="136"/>
      <c r="R231" s="136"/>
      <c r="S231" s="136"/>
      <c r="T231" s="136"/>
      <c r="U231" s="136"/>
      <c r="V231" s="136"/>
      <c r="W231" s="136"/>
      <c r="X231" s="136"/>
      <c r="Y231" s="136"/>
      <c r="Z231" s="136"/>
      <c r="AA231" s="136"/>
      <c r="AB231" s="136"/>
      <c r="AC231" s="136"/>
      <c r="AD231" s="136"/>
      <c r="AE231" s="145"/>
      <c r="AF231" s="272"/>
      <c r="AG231" s="136"/>
    </row>
    <row r="232" spans="1:33" ht="18.75" customHeight="1" x14ac:dyDescent="0.3">
      <c r="A232" s="344">
        <v>45384</v>
      </c>
      <c r="B232" s="136"/>
      <c r="C232" s="136"/>
      <c r="D232" s="136"/>
      <c r="E232" s="136"/>
      <c r="F232" s="136"/>
      <c r="G232" s="136"/>
      <c r="H232" s="136"/>
      <c r="I232" s="136"/>
      <c r="J232" s="136"/>
      <c r="K232" s="136"/>
      <c r="L232" s="136"/>
      <c r="M232" s="136"/>
      <c r="N232" s="136"/>
      <c r="O232" s="136"/>
      <c r="P232" s="136"/>
      <c r="Q232" s="136"/>
      <c r="R232" s="136"/>
      <c r="S232" s="136"/>
      <c r="T232" s="136"/>
      <c r="U232" s="136"/>
      <c r="V232" s="136"/>
      <c r="W232" s="136"/>
      <c r="X232" s="136"/>
      <c r="Y232" s="136"/>
      <c r="Z232" s="136"/>
      <c r="AA232" s="136"/>
      <c r="AB232" s="136"/>
      <c r="AC232" s="136"/>
      <c r="AD232" s="136"/>
      <c r="AE232" s="329">
        <f t="shared" ref="AE232:AE277" si="44">SUM(B232:AD232)</f>
        <v>0</v>
      </c>
      <c r="AF232" s="315" t="s">
        <v>552</v>
      </c>
      <c r="AG232" s="136"/>
    </row>
    <row r="233" spans="1:33" ht="18.75" customHeight="1" x14ac:dyDescent="0.3">
      <c r="A233" s="344">
        <v>45384</v>
      </c>
      <c r="B233" s="136"/>
      <c r="C233" s="136"/>
      <c r="D233" s="136"/>
      <c r="E233" s="136"/>
      <c r="F233" s="136"/>
      <c r="G233" s="136"/>
      <c r="H233" s="136"/>
      <c r="I233" s="136"/>
      <c r="J233" s="136"/>
      <c r="K233" s="136"/>
      <c r="L233" s="136"/>
      <c r="M233" s="136"/>
      <c r="N233" s="136"/>
      <c r="O233" s="136"/>
      <c r="P233" s="136"/>
      <c r="Q233" s="136"/>
      <c r="R233" s="136"/>
      <c r="S233" s="136"/>
      <c r="T233" s="136"/>
      <c r="U233" s="136"/>
      <c r="V233" s="136"/>
      <c r="W233" s="136"/>
      <c r="X233" s="136"/>
      <c r="Y233" s="136"/>
      <c r="Z233" s="136"/>
      <c r="AA233" s="136"/>
      <c r="AB233" s="136"/>
      <c r="AC233" s="136"/>
      <c r="AD233" s="136"/>
      <c r="AE233" s="329">
        <f t="shared" si="44"/>
        <v>0</v>
      </c>
      <c r="AF233" s="315" t="s">
        <v>553</v>
      </c>
      <c r="AG233" s="136"/>
    </row>
    <row r="234" spans="1:33" ht="18.75" customHeight="1" x14ac:dyDescent="0.3">
      <c r="A234" s="344">
        <v>45384</v>
      </c>
      <c r="B234" s="136"/>
      <c r="C234" s="136"/>
      <c r="D234" s="136"/>
      <c r="E234" s="136"/>
      <c r="F234" s="136"/>
      <c r="G234" s="136"/>
      <c r="H234" s="136"/>
      <c r="I234" s="136"/>
      <c r="J234" s="136"/>
      <c r="K234" s="136"/>
      <c r="L234" s="136"/>
      <c r="M234" s="136"/>
      <c r="N234" s="136"/>
      <c r="O234" s="136"/>
      <c r="P234" s="136"/>
      <c r="Q234" s="136"/>
      <c r="R234" s="136"/>
      <c r="S234" s="136"/>
      <c r="T234" s="136"/>
      <c r="U234" s="136"/>
      <c r="V234" s="136"/>
      <c r="W234" s="136"/>
      <c r="X234" s="136"/>
      <c r="Y234" s="136"/>
      <c r="Z234" s="136"/>
      <c r="AA234" s="136"/>
      <c r="AB234" s="136"/>
      <c r="AC234" s="136"/>
      <c r="AD234" s="136"/>
      <c r="AE234" s="329">
        <f t="shared" si="44"/>
        <v>0</v>
      </c>
      <c r="AF234" s="315" t="s">
        <v>554</v>
      </c>
      <c r="AG234" s="136"/>
    </row>
    <row r="235" spans="1:33" ht="18.75" customHeight="1" x14ac:dyDescent="0.3">
      <c r="A235" s="344">
        <v>45384</v>
      </c>
      <c r="B235" s="136"/>
      <c r="C235" s="136"/>
      <c r="D235" s="136"/>
      <c r="E235" s="136"/>
      <c r="F235" s="136"/>
      <c r="G235" s="136"/>
      <c r="H235" s="136"/>
      <c r="I235" s="136"/>
      <c r="J235" s="136"/>
      <c r="K235" s="136"/>
      <c r="L235" s="136"/>
      <c r="M235" s="136"/>
      <c r="N235" s="136"/>
      <c r="O235" s="136"/>
      <c r="P235" s="136"/>
      <c r="Q235" s="136"/>
      <c r="R235" s="136"/>
      <c r="S235" s="136"/>
      <c r="T235" s="136"/>
      <c r="U235" s="136"/>
      <c r="V235" s="136"/>
      <c r="W235" s="136"/>
      <c r="X235" s="136"/>
      <c r="Y235" s="136"/>
      <c r="Z235" s="136"/>
      <c r="AA235" s="136"/>
      <c r="AB235" s="136"/>
      <c r="AC235" s="136"/>
      <c r="AD235" s="136"/>
      <c r="AE235" s="329">
        <f t="shared" si="44"/>
        <v>0</v>
      </c>
      <c r="AF235" s="315" t="s">
        <v>555</v>
      </c>
      <c r="AG235" s="136"/>
    </row>
    <row r="236" spans="1:33" ht="18.75" customHeight="1" x14ac:dyDescent="0.3">
      <c r="A236" s="344">
        <v>45384</v>
      </c>
      <c r="B236" s="136"/>
      <c r="C236" s="136"/>
      <c r="D236" s="136"/>
      <c r="E236" s="136"/>
      <c r="F236" s="136"/>
      <c r="G236" s="136"/>
      <c r="H236" s="136"/>
      <c r="I236" s="136"/>
      <c r="J236" s="136"/>
      <c r="K236" s="136"/>
      <c r="L236" s="136"/>
      <c r="M236" s="136"/>
      <c r="N236" s="136"/>
      <c r="O236" s="136"/>
      <c r="P236" s="136"/>
      <c r="Q236" s="136"/>
      <c r="R236" s="136"/>
      <c r="S236" s="136"/>
      <c r="T236" s="136"/>
      <c r="U236" s="136"/>
      <c r="V236" s="136"/>
      <c r="W236" s="136"/>
      <c r="X236" s="136"/>
      <c r="Y236" s="136"/>
      <c r="Z236" s="136"/>
      <c r="AA236" s="136"/>
      <c r="AB236" s="136"/>
      <c r="AC236" s="136"/>
      <c r="AD236" s="136"/>
      <c r="AE236" s="329">
        <f t="shared" si="44"/>
        <v>0</v>
      </c>
      <c r="AF236" s="315" t="s">
        <v>556</v>
      </c>
      <c r="AG236" s="136"/>
    </row>
    <row r="237" spans="1:33" ht="18.75" customHeight="1" x14ac:dyDescent="0.3">
      <c r="A237" s="344">
        <v>45384</v>
      </c>
      <c r="B237" s="136"/>
      <c r="C237" s="136"/>
      <c r="D237" s="136"/>
      <c r="E237" s="136"/>
      <c r="F237" s="136"/>
      <c r="G237" s="136"/>
      <c r="H237" s="136"/>
      <c r="I237" s="136"/>
      <c r="J237" s="136"/>
      <c r="K237" s="136"/>
      <c r="L237" s="136"/>
      <c r="M237" s="136"/>
      <c r="N237" s="136"/>
      <c r="O237" s="136"/>
      <c r="P237" s="136"/>
      <c r="Q237" s="136"/>
      <c r="R237" s="136"/>
      <c r="S237" s="136"/>
      <c r="T237" s="136"/>
      <c r="U237" s="136"/>
      <c r="V237" s="136"/>
      <c r="W237" s="136"/>
      <c r="X237" s="136"/>
      <c r="Y237" s="136"/>
      <c r="Z237" s="136"/>
      <c r="AA237" s="136"/>
      <c r="AB237" s="136"/>
      <c r="AC237" s="136"/>
      <c r="AD237" s="136"/>
      <c r="AE237" s="329">
        <f t="shared" si="44"/>
        <v>0</v>
      </c>
      <c r="AF237" s="315" t="s">
        <v>557</v>
      </c>
      <c r="AG237" s="136"/>
    </row>
    <row r="238" spans="1:33" ht="18.75" customHeight="1" x14ac:dyDescent="0.3">
      <c r="A238" s="344">
        <v>45385</v>
      </c>
      <c r="B238" s="136"/>
      <c r="C238" s="136"/>
      <c r="D238" s="136"/>
      <c r="E238" s="136"/>
      <c r="F238" s="136"/>
      <c r="G238" s="136"/>
      <c r="H238" s="136"/>
      <c r="I238" s="136"/>
      <c r="J238" s="136"/>
      <c r="K238" s="136"/>
      <c r="L238" s="136"/>
      <c r="M238" s="136"/>
      <c r="N238" s="136"/>
      <c r="O238" s="136"/>
      <c r="P238" s="136"/>
      <c r="Q238" s="136"/>
      <c r="R238" s="136"/>
      <c r="S238" s="136"/>
      <c r="T238" s="136"/>
      <c r="U238" s="136"/>
      <c r="V238" s="136"/>
      <c r="W238" s="136"/>
      <c r="X238" s="136"/>
      <c r="Y238" s="136"/>
      <c r="Z238" s="136"/>
      <c r="AA238" s="136"/>
      <c r="AB238" s="136"/>
      <c r="AC238" s="136"/>
      <c r="AD238" s="136"/>
      <c r="AE238" s="329">
        <f t="shared" si="44"/>
        <v>0</v>
      </c>
      <c r="AF238" s="315" t="s">
        <v>558</v>
      </c>
      <c r="AG238" s="136"/>
    </row>
    <row r="239" spans="1:33" ht="18.75" customHeight="1" x14ac:dyDescent="0.3">
      <c r="A239" s="344">
        <v>45385</v>
      </c>
      <c r="B239" s="136"/>
      <c r="C239" s="136"/>
      <c r="D239" s="136"/>
      <c r="E239" s="136"/>
      <c r="F239" s="136"/>
      <c r="G239" s="136"/>
      <c r="H239" s="136"/>
      <c r="I239" s="136"/>
      <c r="J239" s="136"/>
      <c r="K239" s="136"/>
      <c r="L239" s="136"/>
      <c r="M239" s="136"/>
      <c r="N239" s="136"/>
      <c r="O239" s="136"/>
      <c r="P239" s="136"/>
      <c r="Q239" s="136"/>
      <c r="R239" s="136"/>
      <c r="S239" s="136"/>
      <c r="T239" s="136"/>
      <c r="U239" s="136"/>
      <c r="V239" s="136"/>
      <c r="W239" s="136"/>
      <c r="X239" s="136"/>
      <c r="Y239" s="136"/>
      <c r="Z239" s="136"/>
      <c r="AA239" s="136"/>
      <c r="AB239" s="136"/>
      <c r="AC239" s="136"/>
      <c r="AD239" s="136"/>
      <c r="AE239" s="329">
        <f t="shared" si="44"/>
        <v>0</v>
      </c>
      <c r="AF239" s="315" t="s">
        <v>559</v>
      </c>
      <c r="AG239" s="136"/>
    </row>
    <row r="240" spans="1:33" ht="18.75" customHeight="1" x14ac:dyDescent="0.3">
      <c r="A240" s="344">
        <v>45385</v>
      </c>
      <c r="B240" s="136"/>
      <c r="C240" s="136"/>
      <c r="D240" s="136"/>
      <c r="E240" s="136"/>
      <c r="F240" s="136"/>
      <c r="G240" s="136"/>
      <c r="H240" s="136"/>
      <c r="I240" s="136"/>
      <c r="J240" s="136"/>
      <c r="K240" s="136"/>
      <c r="L240" s="136"/>
      <c r="M240" s="136"/>
      <c r="N240" s="136"/>
      <c r="O240" s="136"/>
      <c r="P240" s="136"/>
      <c r="Q240" s="136"/>
      <c r="R240" s="136"/>
      <c r="S240" s="136"/>
      <c r="T240" s="136"/>
      <c r="U240" s="136"/>
      <c r="V240" s="136"/>
      <c r="W240" s="136"/>
      <c r="X240" s="136"/>
      <c r="Y240" s="136"/>
      <c r="Z240" s="136"/>
      <c r="AA240" s="136"/>
      <c r="AB240" s="136"/>
      <c r="AC240" s="136"/>
      <c r="AD240" s="136"/>
      <c r="AE240" s="329">
        <f t="shared" si="44"/>
        <v>0</v>
      </c>
      <c r="AF240" s="315" t="s">
        <v>560</v>
      </c>
      <c r="AG240" s="136"/>
    </row>
    <row r="241" spans="1:33" ht="18.75" customHeight="1" x14ac:dyDescent="0.3">
      <c r="A241" s="344">
        <v>45386</v>
      </c>
      <c r="B241" s="136"/>
      <c r="C241" s="136"/>
      <c r="D241" s="136"/>
      <c r="E241" s="136"/>
      <c r="F241" s="136"/>
      <c r="G241" s="136"/>
      <c r="H241" s="136"/>
      <c r="I241" s="136"/>
      <c r="J241" s="136"/>
      <c r="K241" s="136"/>
      <c r="L241" s="136"/>
      <c r="M241" s="136"/>
      <c r="N241" s="136"/>
      <c r="O241" s="136"/>
      <c r="P241" s="136"/>
      <c r="Q241" s="136"/>
      <c r="R241" s="136"/>
      <c r="S241" s="136"/>
      <c r="T241" s="136"/>
      <c r="U241" s="136"/>
      <c r="V241" s="136"/>
      <c r="W241" s="136"/>
      <c r="X241" s="136"/>
      <c r="Y241" s="136"/>
      <c r="Z241" s="136"/>
      <c r="AA241" s="136"/>
      <c r="AB241" s="136"/>
      <c r="AC241" s="136"/>
      <c r="AD241" s="136"/>
      <c r="AE241" s="329">
        <f t="shared" si="44"/>
        <v>0</v>
      </c>
      <c r="AF241" s="315" t="s">
        <v>561</v>
      </c>
      <c r="AG241" s="136"/>
    </row>
    <row r="242" spans="1:33" ht="18.75" customHeight="1" x14ac:dyDescent="0.3">
      <c r="A242" s="284">
        <v>45386</v>
      </c>
      <c r="B242" s="285"/>
      <c r="C242" s="285"/>
      <c r="D242" s="285"/>
      <c r="E242" s="285"/>
      <c r="F242" s="285"/>
      <c r="G242" s="285"/>
      <c r="H242" s="285"/>
      <c r="I242" s="285"/>
      <c r="J242" s="285"/>
      <c r="K242" s="285"/>
      <c r="L242" s="285"/>
      <c r="M242" s="285"/>
      <c r="N242" s="285"/>
      <c r="O242" s="285"/>
      <c r="P242" s="285"/>
      <c r="Q242" s="285"/>
      <c r="R242" s="285"/>
      <c r="S242" s="285"/>
      <c r="T242" s="285"/>
      <c r="U242" s="285"/>
      <c r="V242" s="285"/>
      <c r="W242" s="285"/>
      <c r="X242" s="285"/>
      <c r="Y242" s="285"/>
      <c r="Z242" s="285"/>
      <c r="AA242" s="285"/>
      <c r="AB242" s="285"/>
      <c r="AC242" s="285"/>
      <c r="AD242" s="285"/>
      <c r="AE242" s="329">
        <f t="shared" si="44"/>
        <v>0</v>
      </c>
      <c r="AF242" s="292" t="s">
        <v>562</v>
      </c>
      <c r="AG242" s="285"/>
    </row>
    <row r="243" spans="1:33" ht="18.75" customHeight="1" x14ac:dyDescent="0.3">
      <c r="A243" s="284">
        <v>45387</v>
      </c>
      <c r="B243" s="285"/>
      <c r="C243" s="285"/>
      <c r="D243" s="285"/>
      <c r="E243" s="285"/>
      <c r="F243" s="285"/>
      <c r="G243" s="285"/>
      <c r="H243" s="285"/>
      <c r="I243" s="285"/>
      <c r="J243" s="285"/>
      <c r="K243" s="285"/>
      <c r="L243" s="285"/>
      <c r="M243" s="285"/>
      <c r="N243" s="285"/>
      <c r="O243" s="285"/>
      <c r="P243" s="285"/>
      <c r="Q243" s="285"/>
      <c r="R243" s="285"/>
      <c r="S243" s="285"/>
      <c r="T243" s="285"/>
      <c r="U243" s="285"/>
      <c r="V243" s="285"/>
      <c r="W243" s="285"/>
      <c r="X243" s="285"/>
      <c r="Y243" s="285"/>
      <c r="Z243" s="285"/>
      <c r="AA243" s="285"/>
      <c r="AB243" s="285"/>
      <c r="AC243" s="285"/>
      <c r="AD243" s="285"/>
      <c r="AE243" s="329">
        <f t="shared" si="44"/>
        <v>0</v>
      </c>
      <c r="AF243" s="292" t="s">
        <v>563</v>
      </c>
      <c r="AG243" s="285"/>
    </row>
    <row r="244" spans="1:33" ht="18.75" customHeight="1" x14ac:dyDescent="0.3">
      <c r="A244" s="344">
        <v>45392</v>
      </c>
      <c r="B244" s="136"/>
      <c r="C244" s="136"/>
      <c r="D244" s="136"/>
      <c r="E244" s="136"/>
      <c r="F244" s="136"/>
      <c r="G244" s="136"/>
      <c r="H244" s="136"/>
      <c r="I244" s="136"/>
      <c r="J244" s="136"/>
      <c r="K244" s="136"/>
      <c r="L244" s="136"/>
      <c r="M244" s="136"/>
      <c r="N244" s="136"/>
      <c r="O244" s="136"/>
      <c r="P244" s="136"/>
      <c r="Q244" s="136"/>
      <c r="R244" s="136"/>
      <c r="S244" s="136"/>
      <c r="T244" s="136"/>
      <c r="U244" s="136"/>
      <c r="V244" s="136"/>
      <c r="W244" s="136"/>
      <c r="X244" s="136"/>
      <c r="Y244" s="136"/>
      <c r="Z244" s="136"/>
      <c r="AA244" s="136"/>
      <c r="AB244" s="136"/>
      <c r="AC244" s="136"/>
      <c r="AD244" s="136"/>
      <c r="AE244" s="329">
        <f t="shared" si="44"/>
        <v>0</v>
      </c>
      <c r="AF244" s="315" t="s">
        <v>564</v>
      </c>
      <c r="AG244" s="136"/>
    </row>
    <row r="245" spans="1:33" ht="18.75" customHeight="1" x14ac:dyDescent="0.3">
      <c r="A245" s="344">
        <v>45392</v>
      </c>
      <c r="B245" s="136"/>
      <c r="C245" s="136"/>
      <c r="D245" s="136"/>
      <c r="E245" s="136"/>
      <c r="F245" s="136"/>
      <c r="G245" s="136"/>
      <c r="H245" s="136"/>
      <c r="I245" s="136"/>
      <c r="J245" s="136"/>
      <c r="K245" s="136"/>
      <c r="L245" s="136"/>
      <c r="M245" s="136"/>
      <c r="N245" s="136"/>
      <c r="O245" s="136"/>
      <c r="P245" s="136"/>
      <c r="Q245" s="136"/>
      <c r="R245" s="136"/>
      <c r="S245" s="136"/>
      <c r="T245" s="136"/>
      <c r="U245" s="136"/>
      <c r="V245" s="136"/>
      <c r="W245" s="136"/>
      <c r="X245" s="136"/>
      <c r="Y245" s="136"/>
      <c r="Z245" s="136"/>
      <c r="AA245" s="136"/>
      <c r="AB245" s="136"/>
      <c r="AC245" s="136"/>
      <c r="AD245" s="136"/>
      <c r="AE245" s="329">
        <f t="shared" si="44"/>
        <v>0</v>
      </c>
      <c r="AF245" s="346" t="s">
        <v>565</v>
      </c>
      <c r="AG245" s="138"/>
    </row>
    <row r="246" spans="1:33" ht="18.75" customHeight="1" x14ac:dyDescent="0.3">
      <c r="A246" s="344">
        <v>45392</v>
      </c>
      <c r="B246" s="136"/>
      <c r="C246" s="136"/>
      <c r="D246" s="136"/>
      <c r="E246" s="136"/>
      <c r="F246" s="136"/>
      <c r="G246" s="136"/>
      <c r="H246" s="136"/>
      <c r="I246" s="136"/>
      <c r="J246" s="136"/>
      <c r="K246" s="136"/>
      <c r="L246" s="136"/>
      <c r="M246" s="136"/>
      <c r="N246" s="136"/>
      <c r="O246" s="136"/>
      <c r="P246" s="136"/>
      <c r="Q246" s="136"/>
      <c r="R246" s="136"/>
      <c r="S246" s="136"/>
      <c r="T246" s="136"/>
      <c r="U246" s="136"/>
      <c r="V246" s="136"/>
      <c r="W246" s="136"/>
      <c r="X246" s="136"/>
      <c r="Y246" s="136"/>
      <c r="Z246" s="136"/>
      <c r="AA246" s="136"/>
      <c r="AB246" s="136"/>
      <c r="AC246" s="136"/>
      <c r="AD246" s="136"/>
      <c r="AE246" s="329">
        <f t="shared" si="44"/>
        <v>0</v>
      </c>
      <c r="AF246" s="315" t="s">
        <v>566</v>
      </c>
      <c r="AG246" s="136"/>
    </row>
    <row r="247" spans="1:33" ht="18.75" customHeight="1" x14ac:dyDescent="0.3">
      <c r="A247" s="344">
        <v>45392</v>
      </c>
      <c r="B247" s="136"/>
      <c r="C247" s="136"/>
      <c r="D247" s="136"/>
      <c r="E247" s="136"/>
      <c r="F247" s="136"/>
      <c r="G247" s="136"/>
      <c r="H247" s="136"/>
      <c r="I247" s="136"/>
      <c r="J247" s="136"/>
      <c r="K247" s="136"/>
      <c r="L247" s="136"/>
      <c r="M247" s="136"/>
      <c r="N247" s="136"/>
      <c r="O247" s="136"/>
      <c r="P247" s="136"/>
      <c r="Q247" s="136"/>
      <c r="R247" s="136"/>
      <c r="S247" s="136"/>
      <c r="T247" s="136"/>
      <c r="U247" s="136"/>
      <c r="V247" s="136"/>
      <c r="W247" s="136"/>
      <c r="X247" s="136"/>
      <c r="Y247" s="136"/>
      <c r="Z247" s="136"/>
      <c r="AA247" s="136"/>
      <c r="AB247" s="136"/>
      <c r="AC247" s="136"/>
      <c r="AD247" s="136"/>
      <c r="AE247" s="329">
        <f t="shared" si="44"/>
        <v>0</v>
      </c>
      <c r="AF247" s="315" t="s">
        <v>567</v>
      </c>
      <c r="AG247" s="136"/>
    </row>
    <row r="248" spans="1:33" ht="18.75" customHeight="1" x14ac:dyDescent="0.3">
      <c r="A248" s="344">
        <v>45392</v>
      </c>
      <c r="B248" s="136"/>
      <c r="C248" s="136"/>
      <c r="D248" s="136"/>
      <c r="E248" s="136"/>
      <c r="F248" s="136"/>
      <c r="G248" s="136"/>
      <c r="H248" s="136"/>
      <c r="I248" s="136"/>
      <c r="J248" s="136"/>
      <c r="K248" s="136"/>
      <c r="L248" s="136"/>
      <c r="M248" s="136"/>
      <c r="N248" s="136"/>
      <c r="O248" s="136"/>
      <c r="P248" s="136"/>
      <c r="Q248" s="136"/>
      <c r="R248" s="136"/>
      <c r="S248" s="136"/>
      <c r="T248" s="136"/>
      <c r="U248" s="136"/>
      <c r="V248" s="136"/>
      <c r="W248" s="136"/>
      <c r="X248" s="136"/>
      <c r="Y248" s="136"/>
      <c r="Z248" s="136"/>
      <c r="AA248" s="136"/>
      <c r="AB248" s="136"/>
      <c r="AC248" s="136"/>
      <c r="AD248" s="136"/>
      <c r="AE248" s="329">
        <f t="shared" si="44"/>
        <v>0</v>
      </c>
      <c r="AF248" s="315" t="s">
        <v>568</v>
      </c>
      <c r="AG248" s="136"/>
    </row>
    <row r="249" spans="1:33" ht="18.75" customHeight="1" x14ac:dyDescent="0.3">
      <c r="A249" s="344">
        <v>45392</v>
      </c>
      <c r="B249" s="136"/>
      <c r="C249" s="136"/>
      <c r="D249" s="136"/>
      <c r="E249" s="136"/>
      <c r="F249" s="136"/>
      <c r="G249" s="136"/>
      <c r="H249" s="136"/>
      <c r="I249" s="136"/>
      <c r="J249" s="136"/>
      <c r="K249" s="136"/>
      <c r="L249" s="136"/>
      <c r="M249" s="136"/>
      <c r="N249" s="136"/>
      <c r="O249" s="136"/>
      <c r="P249" s="136"/>
      <c r="Q249" s="136"/>
      <c r="R249" s="136"/>
      <c r="S249" s="136"/>
      <c r="T249" s="136"/>
      <c r="U249" s="136"/>
      <c r="V249" s="136"/>
      <c r="W249" s="136"/>
      <c r="X249" s="136"/>
      <c r="Y249" s="136"/>
      <c r="Z249" s="136"/>
      <c r="AA249" s="136"/>
      <c r="AB249" s="136"/>
      <c r="AC249" s="136"/>
      <c r="AD249" s="136"/>
      <c r="AE249" s="329">
        <f t="shared" si="44"/>
        <v>0</v>
      </c>
      <c r="AF249" s="315" t="s">
        <v>569</v>
      </c>
      <c r="AG249" s="136"/>
    </row>
    <row r="250" spans="1:33" ht="18.75" customHeight="1" x14ac:dyDescent="0.3">
      <c r="A250" s="344">
        <v>45392</v>
      </c>
      <c r="B250" s="136"/>
      <c r="C250" s="136"/>
      <c r="D250" s="136"/>
      <c r="E250" s="136"/>
      <c r="F250" s="136"/>
      <c r="G250" s="136"/>
      <c r="H250" s="136"/>
      <c r="I250" s="136"/>
      <c r="J250" s="136"/>
      <c r="K250" s="136"/>
      <c r="L250" s="136"/>
      <c r="M250" s="136"/>
      <c r="N250" s="136"/>
      <c r="O250" s="136"/>
      <c r="P250" s="136"/>
      <c r="Q250" s="136"/>
      <c r="R250" s="136"/>
      <c r="S250" s="136"/>
      <c r="T250" s="136"/>
      <c r="U250" s="136"/>
      <c r="V250" s="136"/>
      <c r="W250" s="136"/>
      <c r="X250" s="136"/>
      <c r="Y250" s="136"/>
      <c r="Z250" s="136"/>
      <c r="AA250" s="136"/>
      <c r="AB250" s="136"/>
      <c r="AC250" s="136"/>
      <c r="AD250" s="136"/>
      <c r="AE250" s="329">
        <f t="shared" si="44"/>
        <v>0</v>
      </c>
      <c r="AF250" s="315" t="s">
        <v>570</v>
      </c>
      <c r="AG250" s="136"/>
    </row>
    <row r="251" spans="1:33" ht="18.75" customHeight="1" x14ac:dyDescent="0.3">
      <c r="A251" s="344">
        <v>45392</v>
      </c>
      <c r="B251" s="136"/>
      <c r="C251" s="136"/>
      <c r="D251" s="136"/>
      <c r="E251" s="136"/>
      <c r="F251" s="136"/>
      <c r="G251" s="136"/>
      <c r="H251" s="136"/>
      <c r="I251" s="136"/>
      <c r="J251" s="136"/>
      <c r="K251" s="136"/>
      <c r="L251" s="136"/>
      <c r="M251" s="136"/>
      <c r="N251" s="136"/>
      <c r="O251" s="136"/>
      <c r="P251" s="136"/>
      <c r="Q251" s="136"/>
      <c r="R251" s="136"/>
      <c r="S251" s="136"/>
      <c r="T251" s="136"/>
      <c r="U251" s="136"/>
      <c r="V251" s="136"/>
      <c r="W251" s="136"/>
      <c r="X251" s="136"/>
      <c r="Y251" s="136"/>
      <c r="Z251" s="136"/>
      <c r="AA251" s="136"/>
      <c r="AB251" s="136"/>
      <c r="AC251" s="136"/>
      <c r="AD251" s="136"/>
      <c r="AE251" s="329">
        <f t="shared" si="44"/>
        <v>0</v>
      </c>
      <c r="AF251" s="315" t="s">
        <v>571</v>
      </c>
      <c r="AG251" s="136"/>
    </row>
    <row r="252" spans="1:33" ht="18.75" customHeight="1" x14ac:dyDescent="0.3">
      <c r="A252" s="344">
        <v>45400</v>
      </c>
      <c r="B252" s="136"/>
      <c r="C252" s="136"/>
      <c r="D252" s="136"/>
      <c r="E252" s="136"/>
      <c r="F252" s="136"/>
      <c r="G252" s="136"/>
      <c r="H252" s="136"/>
      <c r="I252" s="136"/>
      <c r="J252" s="136"/>
      <c r="K252" s="136"/>
      <c r="L252" s="136"/>
      <c r="M252" s="136"/>
      <c r="N252" s="136"/>
      <c r="O252" s="136"/>
      <c r="P252" s="136"/>
      <c r="Q252" s="136"/>
      <c r="R252" s="136"/>
      <c r="S252" s="136"/>
      <c r="T252" s="136"/>
      <c r="U252" s="136"/>
      <c r="V252" s="136"/>
      <c r="W252" s="136"/>
      <c r="X252" s="136"/>
      <c r="Y252" s="136"/>
      <c r="Z252" s="136"/>
      <c r="AA252" s="136"/>
      <c r="AB252" s="136"/>
      <c r="AC252" s="136"/>
      <c r="AD252" s="136"/>
      <c r="AE252" s="329">
        <f t="shared" si="44"/>
        <v>0</v>
      </c>
      <c r="AF252" s="315" t="s">
        <v>572</v>
      </c>
      <c r="AG252" s="136"/>
    </row>
    <row r="253" spans="1:33" ht="18.75" customHeight="1" x14ac:dyDescent="0.3">
      <c r="A253" s="344">
        <v>45400</v>
      </c>
      <c r="B253" s="136"/>
      <c r="C253" s="136"/>
      <c r="D253" s="136"/>
      <c r="E253" s="136"/>
      <c r="F253" s="136"/>
      <c r="G253" s="136"/>
      <c r="H253" s="136"/>
      <c r="I253" s="136"/>
      <c r="J253" s="136"/>
      <c r="K253" s="136"/>
      <c r="L253" s="136"/>
      <c r="M253" s="136"/>
      <c r="N253" s="136"/>
      <c r="O253" s="136"/>
      <c r="P253" s="136"/>
      <c r="Q253" s="136"/>
      <c r="R253" s="136"/>
      <c r="S253" s="136"/>
      <c r="T253" s="136"/>
      <c r="U253" s="136"/>
      <c r="V253" s="136"/>
      <c r="W253" s="136"/>
      <c r="X253" s="136"/>
      <c r="Y253" s="136"/>
      <c r="Z253" s="136"/>
      <c r="AA253" s="136"/>
      <c r="AB253" s="136"/>
      <c r="AC253" s="136"/>
      <c r="AD253" s="136"/>
      <c r="AE253" s="329">
        <f t="shared" si="44"/>
        <v>0</v>
      </c>
      <c r="AF253" s="315" t="s">
        <v>573</v>
      </c>
      <c r="AG253" s="136"/>
    </row>
    <row r="254" spans="1:33" ht="18.75" customHeight="1" x14ac:dyDescent="0.3">
      <c r="A254" s="344">
        <v>45400</v>
      </c>
      <c r="B254" s="136"/>
      <c r="C254" s="136"/>
      <c r="D254" s="136"/>
      <c r="E254" s="136"/>
      <c r="F254" s="136"/>
      <c r="G254" s="136"/>
      <c r="H254" s="136"/>
      <c r="I254" s="136"/>
      <c r="J254" s="136"/>
      <c r="K254" s="136"/>
      <c r="L254" s="136"/>
      <c r="M254" s="136"/>
      <c r="N254" s="136"/>
      <c r="O254" s="136"/>
      <c r="P254" s="136"/>
      <c r="Q254" s="136"/>
      <c r="R254" s="136"/>
      <c r="S254" s="136"/>
      <c r="T254" s="136"/>
      <c r="U254" s="136"/>
      <c r="V254" s="136"/>
      <c r="W254" s="136"/>
      <c r="X254" s="136"/>
      <c r="Y254" s="136"/>
      <c r="Z254" s="136"/>
      <c r="AA254" s="136"/>
      <c r="AB254" s="136"/>
      <c r="AC254" s="136"/>
      <c r="AD254" s="136"/>
      <c r="AE254" s="329">
        <f t="shared" si="44"/>
        <v>0</v>
      </c>
      <c r="AF254" s="315" t="s">
        <v>574</v>
      </c>
      <c r="AG254" s="136"/>
    </row>
    <row r="255" spans="1:33" ht="18.75" customHeight="1" x14ac:dyDescent="0.3">
      <c r="A255" s="344">
        <v>45400</v>
      </c>
      <c r="B255" s="136"/>
      <c r="C255" s="136"/>
      <c r="D255" s="136"/>
      <c r="E255" s="136"/>
      <c r="F255" s="136"/>
      <c r="G255" s="136"/>
      <c r="H255" s="136"/>
      <c r="I255" s="136"/>
      <c r="J255" s="136"/>
      <c r="K255" s="136"/>
      <c r="L255" s="136"/>
      <c r="M255" s="136"/>
      <c r="N255" s="136"/>
      <c r="O255" s="136"/>
      <c r="P255" s="136"/>
      <c r="Q255" s="136"/>
      <c r="R255" s="136"/>
      <c r="S255" s="136"/>
      <c r="T255" s="136"/>
      <c r="U255" s="136"/>
      <c r="V255" s="136"/>
      <c r="W255" s="136"/>
      <c r="X255" s="136"/>
      <c r="Y255" s="136"/>
      <c r="Z255" s="136"/>
      <c r="AA255" s="136"/>
      <c r="AB255" s="136"/>
      <c r="AC255" s="136"/>
      <c r="AD255" s="136"/>
      <c r="AE255" s="329">
        <f t="shared" si="44"/>
        <v>0</v>
      </c>
      <c r="AF255" s="315" t="s">
        <v>575</v>
      </c>
      <c r="AG255" s="136"/>
    </row>
    <row r="256" spans="1:33" ht="18.75" customHeight="1" x14ac:dyDescent="0.3">
      <c r="A256" s="344">
        <v>45400</v>
      </c>
      <c r="B256" s="136"/>
      <c r="C256" s="136"/>
      <c r="D256" s="136"/>
      <c r="E256" s="136"/>
      <c r="F256" s="136"/>
      <c r="G256" s="136"/>
      <c r="H256" s="136"/>
      <c r="I256" s="136"/>
      <c r="J256" s="136"/>
      <c r="K256" s="136"/>
      <c r="L256" s="136"/>
      <c r="M256" s="136"/>
      <c r="N256" s="136"/>
      <c r="O256" s="136"/>
      <c r="P256" s="136"/>
      <c r="Q256" s="136"/>
      <c r="R256" s="136"/>
      <c r="S256" s="136"/>
      <c r="T256" s="136"/>
      <c r="U256" s="136"/>
      <c r="V256" s="136"/>
      <c r="W256" s="136"/>
      <c r="X256" s="136"/>
      <c r="Y256" s="136"/>
      <c r="Z256" s="136"/>
      <c r="AA256" s="136"/>
      <c r="AB256" s="136"/>
      <c r="AC256" s="136"/>
      <c r="AD256" s="136"/>
      <c r="AE256" s="329">
        <f t="shared" si="44"/>
        <v>0</v>
      </c>
      <c r="AF256" s="315" t="s">
        <v>576</v>
      </c>
      <c r="AG256" s="136"/>
    </row>
    <row r="257" spans="1:33" ht="18.75" customHeight="1" x14ac:dyDescent="0.3">
      <c r="A257" s="344">
        <v>45400</v>
      </c>
      <c r="B257" s="136"/>
      <c r="C257" s="136"/>
      <c r="D257" s="136"/>
      <c r="E257" s="136"/>
      <c r="F257" s="136"/>
      <c r="G257" s="136"/>
      <c r="H257" s="136"/>
      <c r="I257" s="136"/>
      <c r="J257" s="136"/>
      <c r="K257" s="136"/>
      <c r="L257" s="136"/>
      <c r="M257" s="136"/>
      <c r="N257" s="136"/>
      <c r="O257" s="136"/>
      <c r="P257" s="136"/>
      <c r="Q257" s="136"/>
      <c r="R257" s="136"/>
      <c r="S257" s="136"/>
      <c r="T257" s="136"/>
      <c r="U257" s="136"/>
      <c r="V257" s="136"/>
      <c r="W257" s="136"/>
      <c r="X257" s="136"/>
      <c r="Y257" s="136"/>
      <c r="Z257" s="136"/>
      <c r="AA257" s="136"/>
      <c r="AB257" s="136"/>
      <c r="AC257" s="136"/>
      <c r="AD257" s="136"/>
      <c r="AE257" s="329">
        <f t="shared" si="44"/>
        <v>0</v>
      </c>
      <c r="AF257" s="315" t="s">
        <v>577</v>
      </c>
      <c r="AG257" s="136"/>
    </row>
    <row r="258" spans="1:33" ht="18.75" customHeight="1" x14ac:dyDescent="0.3">
      <c r="A258" s="344">
        <v>45400</v>
      </c>
      <c r="B258" s="136"/>
      <c r="C258" s="136"/>
      <c r="D258" s="136"/>
      <c r="E258" s="136"/>
      <c r="F258" s="136"/>
      <c r="G258" s="136"/>
      <c r="H258" s="136"/>
      <c r="I258" s="136"/>
      <c r="J258" s="136"/>
      <c r="K258" s="136"/>
      <c r="L258" s="136"/>
      <c r="M258" s="136"/>
      <c r="N258" s="136"/>
      <c r="O258" s="136"/>
      <c r="P258" s="136"/>
      <c r="Q258" s="136"/>
      <c r="R258" s="136"/>
      <c r="S258" s="136"/>
      <c r="T258" s="136"/>
      <c r="U258" s="136"/>
      <c r="V258" s="136"/>
      <c r="W258" s="136"/>
      <c r="X258" s="136"/>
      <c r="Y258" s="136"/>
      <c r="Z258" s="136"/>
      <c r="AA258" s="136"/>
      <c r="AB258" s="136"/>
      <c r="AC258" s="136"/>
      <c r="AD258" s="136"/>
      <c r="AE258" s="329">
        <f t="shared" si="44"/>
        <v>0</v>
      </c>
      <c r="AF258" s="315" t="s">
        <v>578</v>
      </c>
      <c r="AG258" s="136"/>
    </row>
    <row r="259" spans="1:33" ht="18.75" customHeight="1" x14ac:dyDescent="0.3">
      <c r="A259" s="347">
        <v>45401</v>
      </c>
      <c r="B259" s="348"/>
      <c r="C259" s="348"/>
      <c r="D259" s="348"/>
      <c r="E259" s="348"/>
      <c r="F259" s="348"/>
      <c r="G259" s="348"/>
      <c r="H259" s="348"/>
      <c r="I259" s="348"/>
      <c r="J259" s="348"/>
      <c r="K259" s="348"/>
      <c r="L259" s="348"/>
      <c r="M259" s="348"/>
      <c r="N259" s="292"/>
      <c r="O259" s="136"/>
      <c r="P259" s="265"/>
      <c r="Q259" s="348"/>
      <c r="R259" s="348"/>
      <c r="S259" s="348"/>
      <c r="T259" s="348"/>
      <c r="U259" s="348"/>
      <c r="V259" s="348"/>
      <c r="W259" s="348"/>
      <c r="X259" s="348"/>
      <c r="Y259" s="348"/>
      <c r="Z259" s="348"/>
      <c r="AA259" s="348"/>
      <c r="AB259" s="348"/>
      <c r="AC259" s="348"/>
      <c r="AD259" s="348"/>
      <c r="AE259" s="329">
        <f t="shared" si="44"/>
        <v>0</v>
      </c>
      <c r="AF259" s="292" t="s">
        <v>579</v>
      </c>
      <c r="AG259" s="348"/>
    </row>
    <row r="260" spans="1:33" ht="18.75" customHeight="1" x14ac:dyDescent="0.3">
      <c r="A260" s="344">
        <v>45404</v>
      </c>
      <c r="B260" s="136"/>
      <c r="C260" s="136"/>
      <c r="D260" s="136"/>
      <c r="E260" s="136"/>
      <c r="F260" s="136"/>
      <c r="G260" s="136"/>
      <c r="H260" s="136"/>
      <c r="I260" s="136"/>
      <c r="J260" s="136"/>
      <c r="K260" s="136"/>
      <c r="L260" s="136"/>
      <c r="M260" s="136"/>
      <c r="N260" s="136"/>
      <c r="O260" s="136"/>
      <c r="P260" s="136"/>
      <c r="Q260" s="136"/>
      <c r="R260" s="136"/>
      <c r="S260" s="136"/>
      <c r="T260" s="136"/>
      <c r="U260" s="136"/>
      <c r="V260" s="136"/>
      <c r="W260" s="136"/>
      <c r="X260" s="136"/>
      <c r="Y260" s="136"/>
      <c r="Z260" s="136"/>
      <c r="AA260" s="136"/>
      <c r="AB260" s="136"/>
      <c r="AC260" s="136"/>
      <c r="AD260" s="136"/>
      <c r="AE260" s="329">
        <f t="shared" si="44"/>
        <v>0</v>
      </c>
      <c r="AF260" s="315" t="s">
        <v>580</v>
      </c>
      <c r="AG260" s="136"/>
    </row>
    <row r="261" spans="1:33" ht="18.75" customHeight="1" x14ac:dyDescent="0.3">
      <c r="A261" s="344">
        <v>45404</v>
      </c>
      <c r="B261" s="136"/>
      <c r="C261" s="136"/>
      <c r="D261" s="136"/>
      <c r="E261" s="136"/>
      <c r="F261" s="136"/>
      <c r="G261" s="136"/>
      <c r="H261" s="136"/>
      <c r="I261" s="136"/>
      <c r="J261" s="136"/>
      <c r="K261" s="136"/>
      <c r="L261" s="136"/>
      <c r="M261" s="136"/>
      <c r="N261" s="136"/>
      <c r="O261" s="136"/>
      <c r="P261" s="136"/>
      <c r="Q261" s="136"/>
      <c r="R261" s="136"/>
      <c r="S261" s="136"/>
      <c r="T261" s="136"/>
      <c r="U261" s="136"/>
      <c r="V261" s="136"/>
      <c r="W261" s="136"/>
      <c r="X261" s="136"/>
      <c r="Y261" s="136"/>
      <c r="Z261" s="136"/>
      <c r="AA261" s="136"/>
      <c r="AB261" s="136"/>
      <c r="AC261" s="136"/>
      <c r="AD261" s="136"/>
      <c r="AE261" s="329">
        <f t="shared" si="44"/>
        <v>0</v>
      </c>
      <c r="AF261" s="315" t="s">
        <v>581</v>
      </c>
      <c r="AG261" s="136"/>
    </row>
    <row r="262" spans="1:33" ht="18.75" customHeight="1" x14ac:dyDescent="0.3">
      <c r="A262" s="344">
        <v>45404</v>
      </c>
      <c r="B262" s="136"/>
      <c r="C262" s="136"/>
      <c r="D262" s="136"/>
      <c r="E262" s="136"/>
      <c r="F262" s="136"/>
      <c r="G262" s="136"/>
      <c r="H262" s="136"/>
      <c r="I262" s="136"/>
      <c r="J262" s="136"/>
      <c r="K262" s="136"/>
      <c r="L262" s="136"/>
      <c r="M262" s="136"/>
      <c r="N262" s="136"/>
      <c r="O262" s="136"/>
      <c r="P262" s="136"/>
      <c r="Q262" s="136"/>
      <c r="R262" s="136"/>
      <c r="S262" s="136"/>
      <c r="T262" s="136"/>
      <c r="U262" s="136"/>
      <c r="V262" s="136"/>
      <c r="W262" s="136"/>
      <c r="X262" s="136"/>
      <c r="Y262" s="136"/>
      <c r="Z262" s="136"/>
      <c r="AA262" s="136"/>
      <c r="AB262" s="136"/>
      <c r="AC262" s="136"/>
      <c r="AD262" s="136"/>
      <c r="AE262" s="329">
        <f t="shared" si="44"/>
        <v>0</v>
      </c>
      <c r="AF262" s="315" t="s">
        <v>582</v>
      </c>
      <c r="AG262" s="136"/>
    </row>
    <row r="263" spans="1:33" ht="18.75" customHeight="1" x14ac:dyDescent="0.3">
      <c r="A263" s="344">
        <v>45404</v>
      </c>
      <c r="B263" s="136"/>
      <c r="C263" s="136"/>
      <c r="D263" s="136"/>
      <c r="E263" s="136"/>
      <c r="F263" s="136"/>
      <c r="G263" s="136"/>
      <c r="H263" s="136"/>
      <c r="I263" s="136"/>
      <c r="J263" s="136"/>
      <c r="K263" s="136"/>
      <c r="L263" s="136"/>
      <c r="M263" s="136"/>
      <c r="N263" s="136"/>
      <c r="O263" s="136"/>
      <c r="P263" s="136"/>
      <c r="Q263" s="136"/>
      <c r="R263" s="136"/>
      <c r="S263" s="136"/>
      <c r="T263" s="136"/>
      <c r="U263" s="136"/>
      <c r="V263" s="136"/>
      <c r="W263" s="136"/>
      <c r="X263" s="136"/>
      <c r="Y263" s="136"/>
      <c r="Z263" s="136"/>
      <c r="AA263" s="136"/>
      <c r="AB263" s="136"/>
      <c r="AC263" s="136"/>
      <c r="AD263" s="136"/>
      <c r="AE263" s="329">
        <f t="shared" si="44"/>
        <v>0</v>
      </c>
      <c r="AF263" s="315" t="s">
        <v>583</v>
      </c>
      <c r="AG263" s="136"/>
    </row>
    <row r="264" spans="1:33" ht="18.75" customHeight="1" x14ac:dyDescent="0.3">
      <c r="A264" s="344">
        <v>45404</v>
      </c>
      <c r="B264" s="136"/>
      <c r="C264" s="136"/>
      <c r="D264" s="136"/>
      <c r="E264" s="136"/>
      <c r="F264" s="136"/>
      <c r="G264" s="136"/>
      <c r="H264" s="136"/>
      <c r="I264" s="136"/>
      <c r="J264" s="136"/>
      <c r="K264" s="136"/>
      <c r="L264" s="136"/>
      <c r="M264" s="136"/>
      <c r="N264" s="136"/>
      <c r="O264" s="136"/>
      <c r="P264" s="136"/>
      <c r="Q264" s="136"/>
      <c r="R264" s="136"/>
      <c r="S264" s="136"/>
      <c r="T264" s="136"/>
      <c r="U264" s="136"/>
      <c r="V264" s="136"/>
      <c r="W264" s="136"/>
      <c r="X264" s="136"/>
      <c r="Y264" s="136"/>
      <c r="Z264" s="136"/>
      <c r="AA264" s="136"/>
      <c r="AB264" s="136"/>
      <c r="AC264" s="136"/>
      <c r="AD264" s="136"/>
      <c r="AE264" s="329">
        <f t="shared" si="44"/>
        <v>0</v>
      </c>
      <c r="AF264" s="315" t="s">
        <v>584</v>
      </c>
      <c r="AG264" s="136"/>
    </row>
    <row r="265" spans="1:33" ht="18.75" customHeight="1" x14ac:dyDescent="0.3">
      <c r="A265" s="344">
        <v>45404</v>
      </c>
      <c r="B265" s="136"/>
      <c r="C265" s="136"/>
      <c r="D265" s="136"/>
      <c r="E265" s="136"/>
      <c r="F265" s="136"/>
      <c r="G265" s="136"/>
      <c r="H265" s="136"/>
      <c r="I265" s="136"/>
      <c r="J265" s="136"/>
      <c r="K265" s="136"/>
      <c r="L265" s="136"/>
      <c r="M265" s="136"/>
      <c r="N265" s="136"/>
      <c r="O265" s="136"/>
      <c r="P265" s="136"/>
      <c r="Q265" s="136"/>
      <c r="R265" s="136"/>
      <c r="S265" s="136"/>
      <c r="T265" s="136"/>
      <c r="U265" s="136"/>
      <c r="V265" s="136"/>
      <c r="W265" s="136"/>
      <c r="X265" s="136"/>
      <c r="Y265" s="136"/>
      <c r="Z265" s="136"/>
      <c r="AA265" s="136"/>
      <c r="AB265" s="136"/>
      <c r="AC265" s="136"/>
      <c r="AD265" s="136"/>
      <c r="AE265" s="329">
        <f t="shared" si="44"/>
        <v>0</v>
      </c>
      <c r="AF265" s="315" t="s">
        <v>585</v>
      </c>
      <c r="AG265" s="136"/>
    </row>
    <row r="266" spans="1:33" ht="18.75" customHeight="1" x14ac:dyDescent="0.3">
      <c r="A266" s="344">
        <v>45406</v>
      </c>
      <c r="B266" s="136"/>
      <c r="C266" s="136"/>
      <c r="D266" s="136"/>
      <c r="E266" s="136"/>
      <c r="F266" s="136"/>
      <c r="G266" s="136"/>
      <c r="H266" s="136"/>
      <c r="I266" s="136"/>
      <c r="J266" s="136"/>
      <c r="K266" s="136"/>
      <c r="L266" s="136"/>
      <c r="M266" s="136"/>
      <c r="N266" s="136"/>
      <c r="O266" s="136"/>
      <c r="P266" s="136"/>
      <c r="Q266" s="136"/>
      <c r="R266" s="136"/>
      <c r="S266" s="136"/>
      <c r="T266" s="136"/>
      <c r="U266" s="136"/>
      <c r="V266" s="136"/>
      <c r="W266" s="136"/>
      <c r="X266" s="136"/>
      <c r="Y266" s="136"/>
      <c r="Z266" s="136"/>
      <c r="AA266" s="136"/>
      <c r="AB266" s="136"/>
      <c r="AC266" s="136"/>
      <c r="AD266" s="136"/>
      <c r="AE266" s="329">
        <f t="shared" si="44"/>
        <v>0</v>
      </c>
      <c r="AF266" s="315" t="s">
        <v>586</v>
      </c>
      <c r="AG266" s="136"/>
    </row>
    <row r="267" spans="1:33" ht="18.75" customHeight="1" x14ac:dyDescent="0.3">
      <c r="A267" s="344">
        <v>45406</v>
      </c>
      <c r="B267" s="136"/>
      <c r="C267" s="136"/>
      <c r="D267" s="136"/>
      <c r="E267" s="136"/>
      <c r="F267" s="136"/>
      <c r="G267" s="136"/>
      <c r="H267" s="136"/>
      <c r="I267" s="136"/>
      <c r="J267" s="136"/>
      <c r="K267" s="136"/>
      <c r="L267" s="136"/>
      <c r="M267" s="136"/>
      <c r="N267" s="136"/>
      <c r="O267" s="136"/>
      <c r="P267" s="136"/>
      <c r="Q267" s="136"/>
      <c r="R267" s="136"/>
      <c r="S267" s="136"/>
      <c r="T267" s="136"/>
      <c r="U267" s="136"/>
      <c r="V267" s="136"/>
      <c r="W267" s="136"/>
      <c r="X267" s="136"/>
      <c r="Y267" s="136"/>
      <c r="Z267" s="136"/>
      <c r="AA267" s="136"/>
      <c r="AB267" s="136"/>
      <c r="AC267" s="136"/>
      <c r="AD267" s="136"/>
      <c r="AE267" s="329">
        <f t="shared" si="44"/>
        <v>0</v>
      </c>
      <c r="AF267" s="315" t="s">
        <v>587</v>
      </c>
      <c r="AG267" s="136"/>
    </row>
    <row r="268" spans="1:33" ht="18.75" customHeight="1" x14ac:dyDescent="0.3">
      <c r="A268" s="344">
        <v>45406</v>
      </c>
      <c r="B268" s="136"/>
      <c r="C268" s="136"/>
      <c r="D268" s="136"/>
      <c r="E268" s="136"/>
      <c r="F268" s="136"/>
      <c r="G268" s="136"/>
      <c r="H268" s="136"/>
      <c r="I268" s="136"/>
      <c r="J268" s="136"/>
      <c r="K268" s="136"/>
      <c r="L268" s="136"/>
      <c r="M268" s="136"/>
      <c r="N268" s="136"/>
      <c r="O268" s="136"/>
      <c r="P268" s="136"/>
      <c r="Q268" s="136"/>
      <c r="R268" s="136"/>
      <c r="S268" s="136"/>
      <c r="T268" s="136"/>
      <c r="U268" s="136"/>
      <c r="V268" s="136"/>
      <c r="W268" s="136"/>
      <c r="X268" s="136"/>
      <c r="Y268" s="136"/>
      <c r="Z268" s="136"/>
      <c r="AA268" s="136"/>
      <c r="AB268" s="136"/>
      <c r="AC268" s="136"/>
      <c r="AD268" s="136"/>
      <c r="AE268" s="329">
        <f t="shared" si="44"/>
        <v>0</v>
      </c>
      <c r="AF268" s="315" t="s">
        <v>588</v>
      </c>
      <c r="AG268" s="136"/>
    </row>
    <row r="269" spans="1:33" ht="18.75" customHeight="1" x14ac:dyDescent="0.3">
      <c r="A269" s="344">
        <v>45407</v>
      </c>
      <c r="B269" s="136"/>
      <c r="C269" s="136"/>
      <c r="D269" s="136"/>
      <c r="E269" s="136"/>
      <c r="F269" s="136"/>
      <c r="G269" s="136"/>
      <c r="H269" s="136"/>
      <c r="I269" s="136"/>
      <c r="J269" s="136"/>
      <c r="K269" s="136"/>
      <c r="L269" s="136"/>
      <c r="M269" s="136"/>
      <c r="N269" s="136"/>
      <c r="O269" s="136"/>
      <c r="P269" s="136"/>
      <c r="Q269" s="136"/>
      <c r="R269" s="136"/>
      <c r="S269" s="136"/>
      <c r="T269" s="136"/>
      <c r="U269" s="136"/>
      <c r="V269" s="136"/>
      <c r="W269" s="136"/>
      <c r="X269" s="136"/>
      <c r="Y269" s="136"/>
      <c r="Z269" s="136"/>
      <c r="AA269" s="136"/>
      <c r="AB269" s="136"/>
      <c r="AC269" s="136"/>
      <c r="AD269" s="136"/>
      <c r="AE269" s="329">
        <f t="shared" si="44"/>
        <v>0</v>
      </c>
      <c r="AF269" s="315" t="s">
        <v>589</v>
      </c>
      <c r="AG269" s="136"/>
    </row>
    <row r="270" spans="1:33" ht="18.75" customHeight="1" x14ac:dyDescent="0.3">
      <c r="A270" s="281"/>
      <c r="B270" s="136"/>
      <c r="C270" s="136"/>
      <c r="D270" s="136"/>
      <c r="E270" s="136"/>
      <c r="F270" s="136"/>
      <c r="G270" s="136"/>
      <c r="H270" s="136"/>
      <c r="I270" s="136"/>
      <c r="J270" s="136"/>
      <c r="K270" s="136"/>
      <c r="L270" s="136"/>
      <c r="M270" s="136"/>
      <c r="N270" s="136"/>
      <c r="O270" s="136"/>
      <c r="P270" s="136"/>
      <c r="Q270" s="136"/>
      <c r="R270" s="136"/>
      <c r="S270" s="136"/>
      <c r="T270" s="136"/>
      <c r="U270" s="136"/>
      <c r="V270" s="136"/>
      <c r="W270" s="136"/>
      <c r="X270" s="136"/>
      <c r="Y270" s="136"/>
      <c r="Z270" s="136"/>
      <c r="AA270" s="136"/>
      <c r="AB270" s="136"/>
      <c r="AC270" s="136"/>
      <c r="AD270" s="136"/>
      <c r="AE270" s="329">
        <f t="shared" si="44"/>
        <v>0</v>
      </c>
      <c r="AF270" s="272"/>
      <c r="AG270" s="136"/>
    </row>
    <row r="271" spans="1:33" ht="18.75" customHeight="1" x14ac:dyDescent="0.3">
      <c r="A271" s="281"/>
      <c r="B271" s="136"/>
      <c r="C271" s="136"/>
      <c r="D271" s="136"/>
      <c r="E271" s="136"/>
      <c r="F271" s="136"/>
      <c r="G271" s="136"/>
      <c r="H271" s="136"/>
      <c r="I271" s="136"/>
      <c r="J271" s="136"/>
      <c r="K271" s="136"/>
      <c r="L271" s="136"/>
      <c r="M271" s="136"/>
      <c r="N271" s="136"/>
      <c r="O271" s="136"/>
      <c r="P271" s="136"/>
      <c r="Q271" s="136"/>
      <c r="R271" s="136"/>
      <c r="S271" s="136"/>
      <c r="T271" s="136"/>
      <c r="U271" s="136"/>
      <c r="V271" s="136"/>
      <c r="W271" s="136"/>
      <c r="X271" s="136"/>
      <c r="Y271" s="136"/>
      <c r="Z271" s="136"/>
      <c r="AA271" s="136"/>
      <c r="AB271" s="136"/>
      <c r="AC271" s="136"/>
      <c r="AD271" s="136"/>
      <c r="AE271" s="329">
        <f t="shared" si="44"/>
        <v>0</v>
      </c>
      <c r="AF271" s="272"/>
      <c r="AG271" s="136"/>
    </row>
    <row r="272" spans="1:33" ht="18.75" customHeight="1" x14ac:dyDescent="0.3">
      <c r="A272" s="281"/>
      <c r="B272" s="136"/>
      <c r="C272" s="136"/>
      <c r="D272" s="136"/>
      <c r="E272" s="136"/>
      <c r="F272" s="136"/>
      <c r="G272" s="136"/>
      <c r="H272" s="136"/>
      <c r="I272" s="136"/>
      <c r="J272" s="136"/>
      <c r="K272" s="136"/>
      <c r="L272" s="136"/>
      <c r="M272" s="136"/>
      <c r="N272" s="136"/>
      <c r="O272" s="136"/>
      <c r="P272" s="136"/>
      <c r="Q272" s="136"/>
      <c r="R272" s="136"/>
      <c r="S272" s="136"/>
      <c r="T272" s="136"/>
      <c r="U272" s="136"/>
      <c r="V272" s="136"/>
      <c r="W272" s="136"/>
      <c r="X272" s="136"/>
      <c r="Y272" s="136"/>
      <c r="Z272" s="136"/>
      <c r="AA272" s="136"/>
      <c r="AB272" s="136"/>
      <c r="AC272" s="136"/>
      <c r="AD272" s="136"/>
      <c r="AE272" s="329">
        <f t="shared" si="44"/>
        <v>0</v>
      </c>
      <c r="AF272" s="272"/>
      <c r="AG272" s="136"/>
    </row>
    <row r="273" spans="1:33" ht="18.75" customHeight="1" x14ac:dyDescent="0.3">
      <c r="A273" s="281"/>
      <c r="B273" s="136"/>
      <c r="C273" s="136"/>
      <c r="D273" s="136"/>
      <c r="E273" s="136"/>
      <c r="F273" s="136"/>
      <c r="G273" s="136"/>
      <c r="H273" s="136"/>
      <c r="I273" s="136"/>
      <c r="J273" s="136"/>
      <c r="K273" s="136"/>
      <c r="L273" s="136"/>
      <c r="M273" s="136"/>
      <c r="N273" s="136"/>
      <c r="O273" s="136"/>
      <c r="P273" s="136"/>
      <c r="Q273" s="136"/>
      <c r="R273" s="136"/>
      <c r="S273" s="136"/>
      <c r="T273" s="136"/>
      <c r="U273" s="136"/>
      <c r="V273" s="136"/>
      <c r="W273" s="136"/>
      <c r="X273" s="136"/>
      <c r="Y273" s="136"/>
      <c r="Z273" s="136"/>
      <c r="AA273" s="136"/>
      <c r="AB273" s="136"/>
      <c r="AC273" s="136"/>
      <c r="AD273" s="136"/>
      <c r="AE273" s="329">
        <f t="shared" si="44"/>
        <v>0</v>
      </c>
      <c r="AF273" s="272"/>
      <c r="AG273" s="136"/>
    </row>
    <row r="274" spans="1:33" ht="18.75" customHeight="1" x14ac:dyDescent="0.3">
      <c r="A274" s="281"/>
      <c r="B274" s="136"/>
      <c r="C274" s="136"/>
      <c r="D274" s="136"/>
      <c r="E274" s="136"/>
      <c r="F274" s="136"/>
      <c r="G274" s="136"/>
      <c r="H274" s="136"/>
      <c r="I274" s="136"/>
      <c r="J274" s="136"/>
      <c r="K274" s="136"/>
      <c r="L274" s="136"/>
      <c r="M274" s="136"/>
      <c r="N274" s="136"/>
      <c r="O274" s="136"/>
      <c r="P274" s="136"/>
      <c r="Q274" s="136"/>
      <c r="R274" s="136"/>
      <c r="S274" s="136"/>
      <c r="T274" s="136"/>
      <c r="U274" s="136"/>
      <c r="V274" s="136"/>
      <c r="W274" s="136"/>
      <c r="X274" s="136"/>
      <c r="Y274" s="136"/>
      <c r="Z274" s="136"/>
      <c r="AA274" s="136"/>
      <c r="AB274" s="136"/>
      <c r="AC274" s="136"/>
      <c r="AD274" s="136"/>
      <c r="AE274" s="329">
        <f t="shared" si="44"/>
        <v>0</v>
      </c>
      <c r="AF274" s="272"/>
      <c r="AG274" s="136"/>
    </row>
    <row r="275" spans="1:33" ht="18.75" customHeight="1" x14ac:dyDescent="0.3">
      <c r="A275" s="287" t="s">
        <v>237</v>
      </c>
      <c r="B275" s="279">
        <f t="shared" ref="B275:AD275" si="45">SUM(B231:B274)</f>
        <v>0</v>
      </c>
      <c r="C275" s="279">
        <f t="shared" si="45"/>
        <v>0</v>
      </c>
      <c r="D275" s="279">
        <f t="shared" si="45"/>
        <v>0</v>
      </c>
      <c r="E275" s="279">
        <f t="shared" si="45"/>
        <v>0</v>
      </c>
      <c r="F275" s="279">
        <f t="shared" si="45"/>
        <v>0</v>
      </c>
      <c r="G275" s="279">
        <f t="shared" si="45"/>
        <v>0</v>
      </c>
      <c r="H275" s="279">
        <f t="shared" si="45"/>
        <v>0</v>
      </c>
      <c r="I275" s="279">
        <f t="shared" si="45"/>
        <v>0</v>
      </c>
      <c r="J275" s="279">
        <f t="shared" si="45"/>
        <v>0</v>
      </c>
      <c r="K275" s="279">
        <f t="shared" si="45"/>
        <v>0</v>
      </c>
      <c r="L275" s="279">
        <f t="shared" si="45"/>
        <v>0</v>
      </c>
      <c r="M275" s="279">
        <f t="shared" si="45"/>
        <v>0</v>
      </c>
      <c r="N275" s="279">
        <f t="shared" si="45"/>
        <v>0</v>
      </c>
      <c r="O275" s="279">
        <f t="shared" si="45"/>
        <v>0</v>
      </c>
      <c r="P275" s="279">
        <f t="shared" si="45"/>
        <v>0</v>
      </c>
      <c r="Q275" s="279">
        <f t="shared" si="45"/>
        <v>0</v>
      </c>
      <c r="R275" s="279">
        <f t="shared" si="45"/>
        <v>0</v>
      </c>
      <c r="S275" s="279">
        <f t="shared" si="45"/>
        <v>0</v>
      </c>
      <c r="T275" s="279">
        <f t="shared" si="45"/>
        <v>0</v>
      </c>
      <c r="U275" s="279">
        <f t="shared" si="45"/>
        <v>0</v>
      </c>
      <c r="V275" s="279">
        <f t="shared" si="45"/>
        <v>0</v>
      </c>
      <c r="W275" s="279">
        <f t="shared" si="45"/>
        <v>0</v>
      </c>
      <c r="X275" s="279">
        <f t="shared" si="45"/>
        <v>0</v>
      </c>
      <c r="Y275" s="279">
        <f t="shared" si="45"/>
        <v>0</v>
      </c>
      <c r="Z275" s="279">
        <f t="shared" ref="Z275:AA275" si="46">SUM(Z231:Z274)</f>
        <v>0</v>
      </c>
      <c r="AA275" s="279">
        <f t="shared" si="46"/>
        <v>0</v>
      </c>
      <c r="AB275" s="279">
        <f t="shared" si="45"/>
        <v>0</v>
      </c>
      <c r="AC275" s="279">
        <f t="shared" si="45"/>
        <v>0</v>
      </c>
      <c r="AD275" s="279">
        <f t="shared" si="45"/>
        <v>0</v>
      </c>
      <c r="AE275" s="280">
        <f t="shared" si="44"/>
        <v>0</v>
      </c>
      <c r="AF275" s="339"/>
      <c r="AG275" s="340"/>
    </row>
    <row r="276" spans="1:33" ht="18.75" customHeight="1" x14ac:dyDescent="0.3">
      <c r="A276" s="287" t="s">
        <v>238</v>
      </c>
      <c r="B276" s="279">
        <f t="shared" ref="B276:AD276" si="47">SUM(B229+B275)</f>
        <v>51061.2</v>
      </c>
      <c r="C276" s="279">
        <f t="shared" si="47"/>
        <v>104149.33</v>
      </c>
      <c r="D276" s="279">
        <f t="shared" si="47"/>
        <v>3500</v>
      </c>
      <c r="E276" s="279">
        <f t="shared" si="47"/>
        <v>0</v>
      </c>
      <c r="F276" s="279">
        <f t="shared" si="47"/>
        <v>0</v>
      </c>
      <c r="G276" s="279">
        <f t="shared" si="47"/>
        <v>2600</v>
      </c>
      <c r="H276" s="279">
        <f t="shared" si="47"/>
        <v>0</v>
      </c>
      <c r="I276" s="279">
        <f t="shared" si="47"/>
        <v>49458</v>
      </c>
      <c r="J276" s="279">
        <f t="shared" si="47"/>
        <v>320434.92000000004</v>
      </c>
      <c r="K276" s="279">
        <f t="shared" si="47"/>
        <v>15200</v>
      </c>
      <c r="L276" s="279">
        <f t="shared" si="47"/>
        <v>66867</v>
      </c>
      <c r="M276" s="279">
        <f t="shared" si="47"/>
        <v>41505</v>
      </c>
      <c r="N276" s="279">
        <f t="shared" si="47"/>
        <v>0</v>
      </c>
      <c r="O276" s="279">
        <f t="shared" si="47"/>
        <v>0</v>
      </c>
      <c r="P276" s="279">
        <f t="shared" si="47"/>
        <v>0</v>
      </c>
      <c r="Q276" s="279">
        <f t="shared" si="47"/>
        <v>53499</v>
      </c>
      <c r="R276" s="279">
        <f t="shared" si="47"/>
        <v>27285</v>
      </c>
      <c r="S276" s="279">
        <f t="shared" si="47"/>
        <v>0</v>
      </c>
      <c r="T276" s="279">
        <f t="shared" si="47"/>
        <v>39162</v>
      </c>
      <c r="U276" s="279">
        <f t="shared" si="47"/>
        <v>270000</v>
      </c>
      <c r="V276" s="279">
        <f t="shared" si="47"/>
        <v>0</v>
      </c>
      <c r="W276" s="279">
        <f t="shared" si="47"/>
        <v>24824</v>
      </c>
      <c r="X276" s="279">
        <f t="shared" si="47"/>
        <v>75836.25</v>
      </c>
      <c r="Y276" s="279">
        <f t="shared" si="47"/>
        <v>0</v>
      </c>
      <c r="Z276" s="279">
        <f t="shared" ref="Z276:AA276" si="48">SUM(Z229+Z275)</f>
        <v>0</v>
      </c>
      <c r="AA276" s="279">
        <f t="shared" si="48"/>
        <v>0</v>
      </c>
      <c r="AB276" s="279">
        <f t="shared" si="47"/>
        <v>83280.240000000005</v>
      </c>
      <c r="AC276" s="279">
        <f t="shared" si="47"/>
        <v>131660.71</v>
      </c>
      <c r="AD276" s="279">
        <f t="shared" si="47"/>
        <v>0</v>
      </c>
      <c r="AE276" s="280">
        <f t="shared" si="44"/>
        <v>1360322.6500000001</v>
      </c>
      <c r="AF276" s="308"/>
      <c r="AG276" s="195"/>
    </row>
    <row r="277" spans="1:33" ht="18.75" customHeight="1" x14ac:dyDescent="0.3">
      <c r="A277" s="287" t="s">
        <v>239</v>
      </c>
      <c r="B277" s="279">
        <f t="shared" ref="B277:Y277" si="49">SUM(B230-B275)</f>
        <v>515738.8</v>
      </c>
      <c r="C277" s="279">
        <f t="shared" si="49"/>
        <v>45850.669999999991</v>
      </c>
      <c r="D277" s="279">
        <f t="shared" si="49"/>
        <v>324500</v>
      </c>
      <c r="E277" s="279">
        <f t="shared" si="49"/>
        <v>0</v>
      </c>
      <c r="F277" s="279">
        <f t="shared" si="49"/>
        <v>0</v>
      </c>
      <c r="G277" s="279">
        <f t="shared" si="49"/>
        <v>-2600</v>
      </c>
      <c r="H277" s="279">
        <f t="shared" si="49"/>
        <v>0</v>
      </c>
      <c r="I277" s="279">
        <f t="shared" si="49"/>
        <v>198442</v>
      </c>
      <c r="J277" s="279">
        <f t="shared" si="49"/>
        <v>-320434.92000000004</v>
      </c>
      <c r="K277" s="279">
        <f t="shared" si="49"/>
        <v>-15200</v>
      </c>
      <c r="L277" s="279">
        <f t="shared" si="49"/>
        <v>183133</v>
      </c>
      <c r="M277" s="279">
        <f t="shared" si="49"/>
        <v>98495</v>
      </c>
      <c r="N277" s="279">
        <f t="shared" si="49"/>
        <v>0</v>
      </c>
      <c r="O277" s="279">
        <f t="shared" si="49"/>
        <v>0</v>
      </c>
      <c r="P277" s="279">
        <f t="shared" si="49"/>
        <v>0</v>
      </c>
      <c r="Q277" s="279">
        <f t="shared" si="49"/>
        <v>160501</v>
      </c>
      <c r="R277" s="279">
        <f t="shared" si="49"/>
        <v>361660</v>
      </c>
      <c r="S277" s="279">
        <f t="shared" si="49"/>
        <v>74900</v>
      </c>
      <c r="T277" s="279">
        <f t="shared" si="49"/>
        <v>1154497</v>
      </c>
      <c r="U277" s="279">
        <f t="shared" si="49"/>
        <v>1234800</v>
      </c>
      <c r="V277" s="279">
        <f t="shared" si="49"/>
        <v>189600</v>
      </c>
      <c r="W277" s="279">
        <f t="shared" si="49"/>
        <v>74472</v>
      </c>
      <c r="X277" s="279">
        <f t="shared" si="49"/>
        <v>84163.75</v>
      </c>
      <c r="Y277" s="279">
        <f t="shared" si="49"/>
        <v>8500000</v>
      </c>
      <c r="Z277" s="279">
        <f t="shared" ref="Z277:AA277" si="50">SUM(Z230-Z275)</f>
        <v>716400</v>
      </c>
      <c r="AA277" s="279">
        <f t="shared" si="50"/>
        <v>1113800</v>
      </c>
      <c r="AB277" s="279">
        <f>SUM(AB230-AB275)</f>
        <v>91519.75999999998</v>
      </c>
      <c r="AC277" s="279">
        <f>SUM(AC230-AC275)</f>
        <v>66339.290000000008</v>
      </c>
      <c r="AD277" s="279">
        <f>SUM(AD230-AD275)</f>
        <v>0</v>
      </c>
      <c r="AE277" s="280">
        <f t="shared" si="44"/>
        <v>14850577.35</v>
      </c>
      <c r="AF277" s="308"/>
      <c r="AG277" s="195"/>
    </row>
    <row r="278" spans="1:33" ht="18.75" customHeight="1" x14ac:dyDescent="0.3">
      <c r="A278" s="284" t="s">
        <v>240</v>
      </c>
      <c r="B278" s="136"/>
      <c r="C278" s="136"/>
      <c r="D278" s="136"/>
      <c r="E278" s="136"/>
      <c r="F278" s="136"/>
      <c r="G278" s="136"/>
      <c r="H278" s="136"/>
      <c r="I278" s="136"/>
      <c r="J278" s="136"/>
      <c r="K278" s="136"/>
      <c r="L278" s="136"/>
      <c r="M278" s="136"/>
      <c r="N278" s="136"/>
      <c r="O278" s="136"/>
      <c r="P278" s="136"/>
      <c r="Q278" s="136"/>
      <c r="R278" s="136"/>
      <c r="S278" s="136"/>
      <c r="T278" s="136"/>
      <c r="U278" s="136"/>
      <c r="V278" s="136"/>
      <c r="W278" s="136"/>
      <c r="X278" s="136"/>
      <c r="Y278" s="136"/>
      <c r="Z278" s="136"/>
      <c r="AA278" s="136"/>
      <c r="AB278" s="136"/>
      <c r="AC278" s="136"/>
      <c r="AD278" s="136"/>
      <c r="AE278" s="145"/>
      <c r="AF278" s="272"/>
      <c r="AG278" s="136"/>
    </row>
    <row r="279" spans="1:33" ht="18.75" customHeight="1" x14ac:dyDescent="0.3">
      <c r="A279" s="349">
        <v>45414</v>
      </c>
      <c r="B279" s="136"/>
      <c r="C279" s="136"/>
      <c r="D279" s="136"/>
      <c r="E279" s="136"/>
      <c r="F279" s="136"/>
      <c r="G279" s="136"/>
      <c r="H279" s="136"/>
      <c r="I279" s="136"/>
      <c r="J279" s="136"/>
      <c r="K279" s="136"/>
      <c r="L279" s="136"/>
      <c r="M279" s="136"/>
      <c r="N279" s="136"/>
      <c r="O279" s="136"/>
      <c r="P279" s="136"/>
      <c r="Q279" s="136"/>
      <c r="R279" s="136"/>
      <c r="S279" s="136"/>
      <c r="T279" s="136"/>
      <c r="U279" s="136"/>
      <c r="V279" s="136"/>
      <c r="W279" s="136"/>
      <c r="X279" s="136"/>
      <c r="Y279" s="136"/>
      <c r="Z279" s="136"/>
      <c r="AA279" s="136"/>
      <c r="AB279" s="136"/>
      <c r="AC279" s="136"/>
      <c r="AD279" s="136"/>
      <c r="AE279" s="329">
        <f t="shared" ref="AE279:AE310" si="51">SUM(B279:AD279)</f>
        <v>0</v>
      </c>
      <c r="AF279" s="315" t="s">
        <v>590</v>
      </c>
      <c r="AG279" s="136"/>
    </row>
    <row r="280" spans="1:33" ht="18.75" customHeight="1" x14ac:dyDescent="0.3">
      <c r="A280" s="349">
        <v>45414</v>
      </c>
      <c r="B280" s="136"/>
      <c r="C280" s="136"/>
      <c r="D280" s="136"/>
      <c r="E280" s="136"/>
      <c r="F280" s="136"/>
      <c r="G280" s="136"/>
      <c r="H280" s="136"/>
      <c r="I280" s="136"/>
      <c r="J280" s="136"/>
      <c r="K280" s="136"/>
      <c r="L280" s="136"/>
      <c r="M280" s="136"/>
      <c r="N280" s="136"/>
      <c r="O280" s="136"/>
      <c r="P280" s="136"/>
      <c r="Q280" s="136"/>
      <c r="R280" s="136"/>
      <c r="S280" s="136"/>
      <c r="T280" s="136"/>
      <c r="U280" s="136"/>
      <c r="V280" s="136"/>
      <c r="W280" s="136"/>
      <c r="X280" s="136"/>
      <c r="Y280" s="136"/>
      <c r="Z280" s="136"/>
      <c r="AA280" s="136"/>
      <c r="AB280" s="136"/>
      <c r="AC280" s="136"/>
      <c r="AD280" s="136"/>
      <c r="AE280" s="329">
        <f t="shared" si="51"/>
        <v>0</v>
      </c>
      <c r="AF280" s="315" t="s">
        <v>591</v>
      </c>
      <c r="AG280" s="136"/>
    </row>
    <row r="281" spans="1:33" ht="18.75" customHeight="1" x14ac:dyDescent="0.3">
      <c r="A281" s="349">
        <v>45414</v>
      </c>
      <c r="B281" s="136"/>
      <c r="C281" s="136"/>
      <c r="D281" s="136"/>
      <c r="E281" s="136"/>
      <c r="F281" s="136"/>
      <c r="G281" s="136"/>
      <c r="H281" s="136"/>
      <c r="I281" s="136"/>
      <c r="J281" s="136"/>
      <c r="K281" s="136"/>
      <c r="L281" s="136"/>
      <c r="M281" s="136"/>
      <c r="N281" s="136"/>
      <c r="O281" s="136"/>
      <c r="P281" s="136"/>
      <c r="Q281" s="136"/>
      <c r="R281" s="136"/>
      <c r="S281" s="136"/>
      <c r="T281" s="136"/>
      <c r="U281" s="136"/>
      <c r="V281" s="136"/>
      <c r="W281" s="136"/>
      <c r="X281" s="136"/>
      <c r="Y281" s="136"/>
      <c r="Z281" s="136"/>
      <c r="AA281" s="136"/>
      <c r="AB281" s="136"/>
      <c r="AC281" s="136"/>
      <c r="AD281" s="136"/>
      <c r="AE281" s="329">
        <f t="shared" si="51"/>
        <v>0</v>
      </c>
      <c r="AF281" s="315" t="s">
        <v>592</v>
      </c>
      <c r="AG281" s="136"/>
    </row>
    <row r="282" spans="1:33" ht="18.75" customHeight="1" x14ac:dyDescent="0.3">
      <c r="A282" s="349">
        <v>45414</v>
      </c>
      <c r="B282" s="136"/>
      <c r="C282" s="136"/>
      <c r="D282" s="136"/>
      <c r="E282" s="136"/>
      <c r="F282" s="136"/>
      <c r="G282" s="136"/>
      <c r="H282" s="136"/>
      <c r="I282" s="136"/>
      <c r="J282" s="136"/>
      <c r="K282" s="136"/>
      <c r="L282" s="136"/>
      <c r="M282" s="136"/>
      <c r="N282" s="136"/>
      <c r="O282" s="136"/>
      <c r="P282" s="136"/>
      <c r="Q282" s="136"/>
      <c r="R282" s="136"/>
      <c r="S282" s="136"/>
      <c r="T282" s="136"/>
      <c r="U282" s="136"/>
      <c r="V282" s="136"/>
      <c r="W282" s="136"/>
      <c r="X282" s="136"/>
      <c r="Y282" s="136"/>
      <c r="Z282" s="136"/>
      <c r="AA282" s="136"/>
      <c r="AB282" s="136"/>
      <c r="AC282" s="136"/>
      <c r="AD282" s="136"/>
      <c r="AE282" s="329">
        <f t="shared" si="51"/>
        <v>0</v>
      </c>
      <c r="AF282" s="315" t="s">
        <v>593</v>
      </c>
      <c r="AG282" s="136"/>
    </row>
    <row r="283" spans="1:33" ht="18.75" customHeight="1" x14ac:dyDescent="0.3">
      <c r="A283" s="349">
        <v>45420</v>
      </c>
      <c r="B283" s="136"/>
      <c r="C283" s="136"/>
      <c r="D283" s="136"/>
      <c r="E283" s="136"/>
      <c r="F283" s="136"/>
      <c r="G283" s="136"/>
      <c r="H283" s="136"/>
      <c r="I283" s="136"/>
      <c r="J283" s="136"/>
      <c r="K283" s="136"/>
      <c r="L283" s="136"/>
      <c r="M283" s="136"/>
      <c r="N283" s="136"/>
      <c r="O283" s="136"/>
      <c r="P283" s="136"/>
      <c r="Q283" s="136"/>
      <c r="R283" s="136"/>
      <c r="S283" s="136"/>
      <c r="T283" s="136"/>
      <c r="U283" s="136"/>
      <c r="V283" s="136"/>
      <c r="W283" s="136"/>
      <c r="X283" s="136"/>
      <c r="Y283" s="136"/>
      <c r="Z283" s="136"/>
      <c r="AA283" s="136"/>
      <c r="AB283" s="136"/>
      <c r="AC283" s="136"/>
      <c r="AD283" s="136"/>
      <c r="AE283" s="329">
        <f t="shared" si="51"/>
        <v>0</v>
      </c>
      <c r="AF283" s="315" t="s">
        <v>594</v>
      </c>
      <c r="AG283" s="136"/>
    </row>
    <row r="284" spans="1:33" ht="18.75" customHeight="1" x14ac:dyDescent="0.3">
      <c r="A284" s="349">
        <v>45420</v>
      </c>
      <c r="B284" s="136"/>
      <c r="C284" s="136"/>
      <c r="D284" s="136"/>
      <c r="E284" s="136"/>
      <c r="F284" s="136"/>
      <c r="G284" s="136"/>
      <c r="H284" s="136"/>
      <c r="I284" s="136"/>
      <c r="J284" s="136"/>
      <c r="K284" s="136"/>
      <c r="L284" s="136"/>
      <c r="M284" s="136"/>
      <c r="N284" s="136"/>
      <c r="O284" s="136"/>
      <c r="P284" s="136"/>
      <c r="Q284" s="136"/>
      <c r="R284" s="136"/>
      <c r="S284" s="136"/>
      <c r="T284" s="136"/>
      <c r="U284" s="136"/>
      <c r="V284" s="136"/>
      <c r="W284" s="136"/>
      <c r="X284" s="136"/>
      <c r="Y284" s="136"/>
      <c r="Z284" s="136"/>
      <c r="AA284" s="136"/>
      <c r="AB284" s="136"/>
      <c r="AC284" s="136"/>
      <c r="AD284" s="136"/>
      <c r="AE284" s="329">
        <f t="shared" si="51"/>
        <v>0</v>
      </c>
      <c r="AF284" s="315" t="s">
        <v>595</v>
      </c>
      <c r="AG284" s="136"/>
    </row>
    <row r="285" spans="1:33" ht="18.75" customHeight="1" x14ac:dyDescent="0.3">
      <c r="A285" s="349">
        <v>45420</v>
      </c>
      <c r="B285" s="136"/>
      <c r="C285" s="136"/>
      <c r="D285" s="136"/>
      <c r="E285" s="136"/>
      <c r="F285" s="136"/>
      <c r="G285" s="136"/>
      <c r="H285" s="136"/>
      <c r="I285" s="136"/>
      <c r="J285" s="136"/>
      <c r="K285" s="136"/>
      <c r="L285" s="136"/>
      <c r="M285" s="136"/>
      <c r="N285" s="136"/>
      <c r="O285" s="136"/>
      <c r="P285" s="136"/>
      <c r="Q285" s="136"/>
      <c r="R285" s="136"/>
      <c r="S285" s="136"/>
      <c r="T285" s="136"/>
      <c r="U285" s="136"/>
      <c r="V285" s="136"/>
      <c r="W285" s="136"/>
      <c r="X285" s="136"/>
      <c r="Y285" s="136"/>
      <c r="Z285" s="136"/>
      <c r="AA285" s="136"/>
      <c r="AB285" s="136"/>
      <c r="AC285" s="136"/>
      <c r="AD285" s="136"/>
      <c r="AE285" s="329">
        <f t="shared" si="51"/>
        <v>0</v>
      </c>
      <c r="AF285" s="315" t="s">
        <v>596</v>
      </c>
      <c r="AG285" s="136"/>
    </row>
    <row r="286" spans="1:33" ht="18.75" customHeight="1" x14ac:dyDescent="0.3">
      <c r="A286" s="349">
        <v>45420</v>
      </c>
      <c r="B286" s="136"/>
      <c r="C286" s="136"/>
      <c r="D286" s="136"/>
      <c r="E286" s="136"/>
      <c r="F286" s="136"/>
      <c r="G286" s="136"/>
      <c r="H286" s="136"/>
      <c r="I286" s="136"/>
      <c r="J286" s="136"/>
      <c r="K286" s="136"/>
      <c r="L286" s="136"/>
      <c r="M286" s="136"/>
      <c r="N286" s="136"/>
      <c r="O286" s="136"/>
      <c r="P286" s="136"/>
      <c r="Q286" s="136"/>
      <c r="R286" s="136"/>
      <c r="S286" s="136"/>
      <c r="T286" s="136"/>
      <c r="U286" s="136"/>
      <c r="V286" s="136"/>
      <c r="W286" s="136"/>
      <c r="X286" s="136"/>
      <c r="Y286" s="136"/>
      <c r="Z286" s="136"/>
      <c r="AA286" s="136"/>
      <c r="AB286" s="136"/>
      <c r="AC286" s="136"/>
      <c r="AD286" s="136"/>
      <c r="AE286" s="329">
        <f t="shared" si="51"/>
        <v>0</v>
      </c>
      <c r="AF286" s="315" t="s">
        <v>597</v>
      </c>
      <c r="AG286" s="136"/>
    </row>
    <row r="287" spans="1:33" ht="18.75" customHeight="1" x14ac:dyDescent="0.3">
      <c r="A287" s="349">
        <v>45420</v>
      </c>
      <c r="B287" s="136"/>
      <c r="C287" s="136"/>
      <c r="D287" s="136"/>
      <c r="E287" s="136"/>
      <c r="F287" s="136"/>
      <c r="G287" s="136"/>
      <c r="H287" s="136"/>
      <c r="I287" s="136"/>
      <c r="J287" s="136"/>
      <c r="K287" s="136"/>
      <c r="L287" s="136"/>
      <c r="M287" s="136"/>
      <c r="N287" s="136"/>
      <c r="O287" s="136"/>
      <c r="P287" s="136"/>
      <c r="Q287" s="136"/>
      <c r="R287" s="136"/>
      <c r="S287" s="136"/>
      <c r="T287" s="136"/>
      <c r="U287" s="136"/>
      <c r="V287" s="136"/>
      <c r="W287" s="136"/>
      <c r="X287" s="136"/>
      <c r="Y287" s="136"/>
      <c r="Z287" s="136"/>
      <c r="AA287" s="136"/>
      <c r="AB287" s="136"/>
      <c r="AC287" s="136"/>
      <c r="AD287" s="136"/>
      <c r="AE287" s="329">
        <f t="shared" si="51"/>
        <v>0</v>
      </c>
      <c r="AF287" s="315" t="s">
        <v>598</v>
      </c>
      <c r="AG287" s="136"/>
    </row>
    <row r="288" spans="1:33" ht="18.75" customHeight="1" x14ac:dyDescent="0.3">
      <c r="A288" s="349">
        <v>45420</v>
      </c>
      <c r="B288" s="136"/>
      <c r="C288" s="136"/>
      <c r="D288" s="136"/>
      <c r="E288" s="136"/>
      <c r="F288" s="136"/>
      <c r="G288" s="136"/>
      <c r="H288" s="136"/>
      <c r="I288" s="136"/>
      <c r="J288" s="136"/>
      <c r="K288" s="136"/>
      <c r="L288" s="136"/>
      <c r="M288" s="136"/>
      <c r="N288" s="136"/>
      <c r="O288" s="136"/>
      <c r="P288" s="136"/>
      <c r="Q288" s="136"/>
      <c r="R288" s="136"/>
      <c r="S288" s="136"/>
      <c r="T288" s="136"/>
      <c r="U288" s="136"/>
      <c r="V288" s="136"/>
      <c r="W288" s="136"/>
      <c r="X288" s="136"/>
      <c r="Y288" s="136"/>
      <c r="Z288" s="136"/>
      <c r="AA288" s="136"/>
      <c r="AB288" s="136"/>
      <c r="AC288" s="136"/>
      <c r="AD288" s="136"/>
      <c r="AE288" s="329">
        <f t="shared" si="51"/>
        <v>0</v>
      </c>
      <c r="AF288" s="315" t="s">
        <v>599</v>
      </c>
      <c r="AG288" s="136"/>
    </row>
    <row r="289" spans="1:33" ht="18.75" customHeight="1" x14ac:dyDescent="0.3">
      <c r="A289" s="286">
        <v>45420</v>
      </c>
      <c r="B289" s="136"/>
      <c r="C289" s="136"/>
      <c r="D289" s="136"/>
      <c r="E289" s="136"/>
      <c r="F289" s="136"/>
      <c r="G289" s="136"/>
      <c r="H289" s="136"/>
      <c r="I289" s="136"/>
      <c r="J289" s="136"/>
      <c r="K289" s="136"/>
      <c r="L289" s="136"/>
      <c r="M289" s="136"/>
      <c r="N289" s="136"/>
      <c r="O289" s="136"/>
      <c r="P289" s="136"/>
      <c r="Q289" s="136"/>
      <c r="R289" s="136"/>
      <c r="S289" s="136"/>
      <c r="T289" s="136"/>
      <c r="U289" s="136"/>
      <c r="V289" s="136"/>
      <c r="W289" s="136"/>
      <c r="X289" s="136"/>
      <c r="Y289" s="136"/>
      <c r="Z289" s="136"/>
      <c r="AA289" s="136"/>
      <c r="AB289" s="136"/>
      <c r="AC289" s="136"/>
      <c r="AD289" s="136"/>
      <c r="AE289" s="329">
        <f t="shared" si="51"/>
        <v>0</v>
      </c>
      <c r="AF289" s="350" t="s">
        <v>600</v>
      </c>
      <c r="AG289" s="136"/>
    </row>
    <row r="290" spans="1:33" ht="18.75" customHeight="1" x14ac:dyDescent="0.3">
      <c r="A290" s="349">
        <v>45425</v>
      </c>
      <c r="B290" s="136"/>
      <c r="C290" s="136"/>
      <c r="D290" s="136"/>
      <c r="E290" s="136"/>
      <c r="F290" s="136"/>
      <c r="G290" s="136"/>
      <c r="H290" s="136"/>
      <c r="I290" s="136"/>
      <c r="J290" s="136"/>
      <c r="K290" s="136"/>
      <c r="L290" s="136"/>
      <c r="M290" s="136"/>
      <c r="N290" s="136"/>
      <c r="O290" s="136"/>
      <c r="P290" s="136"/>
      <c r="Q290" s="136"/>
      <c r="R290" s="136"/>
      <c r="S290" s="136"/>
      <c r="T290" s="136"/>
      <c r="U290" s="136"/>
      <c r="V290" s="136"/>
      <c r="W290" s="136"/>
      <c r="X290" s="136"/>
      <c r="Y290" s="136"/>
      <c r="Z290" s="136"/>
      <c r="AA290" s="136"/>
      <c r="AB290" s="136"/>
      <c r="AC290" s="136"/>
      <c r="AD290" s="136"/>
      <c r="AE290" s="329">
        <f t="shared" si="51"/>
        <v>0</v>
      </c>
      <c r="AF290" s="315" t="s">
        <v>601</v>
      </c>
      <c r="AG290" s="136"/>
    </row>
    <row r="291" spans="1:33" ht="18.75" customHeight="1" x14ac:dyDescent="0.3">
      <c r="A291" s="349">
        <v>45425</v>
      </c>
      <c r="B291" s="136"/>
      <c r="C291" s="136"/>
      <c r="D291" s="136"/>
      <c r="E291" s="136"/>
      <c r="F291" s="136"/>
      <c r="G291" s="136"/>
      <c r="H291" s="136"/>
      <c r="I291" s="136"/>
      <c r="J291" s="136"/>
      <c r="K291" s="136"/>
      <c r="L291" s="136"/>
      <c r="M291" s="136"/>
      <c r="N291" s="136"/>
      <c r="O291" s="136"/>
      <c r="P291" s="136"/>
      <c r="Q291" s="136"/>
      <c r="R291" s="136"/>
      <c r="S291" s="136"/>
      <c r="T291" s="136"/>
      <c r="U291" s="136"/>
      <c r="V291" s="136"/>
      <c r="W291" s="136"/>
      <c r="X291" s="136"/>
      <c r="Y291" s="136"/>
      <c r="Z291" s="136"/>
      <c r="AA291" s="136"/>
      <c r="AB291" s="136"/>
      <c r="AC291" s="136"/>
      <c r="AD291" s="136"/>
      <c r="AE291" s="329">
        <f t="shared" si="51"/>
        <v>0</v>
      </c>
      <c r="AF291" s="315" t="s">
        <v>602</v>
      </c>
      <c r="AG291" s="136"/>
    </row>
    <row r="292" spans="1:33" ht="18.75" customHeight="1" x14ac:dyDescent="0.3">
      <c r="A292" s="349">
        <v>45426</v>
      </c>
      <c r="B292" s="136"/>
      <c r="C292" s="136"/>
      <c r="D292" s="136"/>
      <c r="E292" s="136"/>
      <c r="F292" s="136"/>
      <c r="G292" s="136"/>
      <c r="H292" s="136"/>
      <c r="I292" s="136"/>
      <c r="J292" s="136"/>
      <c r="K292" s="136"/>
      <c r="L292" s="136"/>
      <c r="M292" s="136"/>
      <c r="N292" s="136"/>
      <c r="O292" s="136"/>
      <c r="P292" s="136"/>
      <c r="Q292" s="136"/>
      <c r="R292" s="136"/>
      <c r="S292" s="136"/>
      <c r="T292" s="136"/>
      <c r="U292" s="136"/>
      <c r="V292" s="136"/>
      <c r="W292" s="136"/>
      <c r="X292" s="136"/>
      <c r="Y292" s="136"/>
      <c r="Z292" s="136"/>
      <c r="AA292" s="136"/>
      <c r="AB292" s="136"/>
      <c r="AC292" s="136"/>
      <c r="AD292" s="136"/>
      <c r="AE292" s="329">
        <f t="shared" si="51"/>
        <v>0</v>
      </c>
      <c r="AF292" s="315" t="s">
        <v>603</v>
      </c>
      <c r="AG292" s="136"/>
    </row>
    <row r="293" spans="1:33" ht="18.75" customHeight="1" x14ac:dyDescent="0.3">
      <c r="A293" s="349">
        <v>45426</v>
      </c>
      <c r="B293" s="136"/>
      <c r="C293" s="136"/>
      <c r="D293" s="136"/>
      <c r="E293" s="136"/>
      <c r="F293" s="136"/>
      <c r="G293" s="136"/>
      <c r="H293" s="136"/>
      <c r="I293" s="136"/>
      <c r="J293" s="136"/>
      <c r="K293" s="136"/>
      <c r="L293" s="136"/>
      <c r="M293" s="136"/>
      <c r="N293" s="136"/>
      <c r="O293" s="136"/>
      <c r="P293" s="136"/>
      <c r="Q293" s="136"/>
      <c r="R293" s="136"/>
      <c r="S293" s="136"/>
      <c r="T293" s="136"/>
      <c r="U293" s="136"/>
      <c r="V293" s="136"/>
      <c r="W293" s="136"/>
      <c r="X293" s="136"/>
      <c r="Y293" s="136"/>
      <c r="Z293" s="136"/>
      <c r="AA293" s="136"/>
      <c r="AB293" s="136"/>
      <c r="AC293" s="136"/>
      <c r="AD293" s="136"/>
      <c r="AE293" s="329">
        <f t="shared" si="51"/>
        <v>0</v>
      </c>
      <c r="AF293" s="315" t="s">
        <v>604</v>
      </c>
      <c r="AG293" s="136"/>
    </row>
    <row r="294" spans="1:33" ht="18.75" customHeight="1" x14ac:dyDescent="0.3">
      <c r="A294" s="349">
        <v>45426</v>
      </c>
      <c r="B294" s="136"/>
      <c r="C294" s="136"/>
      <c r="D294" s="136"/>
      <c r="E294" s="136"/>
      <c r="F294" s="136"/>
      <c r="G294" s="136"/>
      <c r="H294" s="136"/>
      <c r="I294" s="136"/>
      <c r="J294" s="136"/>
      <c r="K294" s="136"/>
      <c r="L294" s="136"/>
      <c r="M294" s="136"/>
      <c r="N294" s="136"/>
      <c r="O294" s="136"/>
      <c r="P294" s="136"/>
      <c r="Q294" s="136"/>
      <c r="R294" s="136"/>
      <c r="S294" s="136"/>
      <c r="T294" s="136"/>
      <c r="U294" s="136"/>
      <c r="V294" s="136"/>
      <c r="W294" s="136"/>
      <c r="X294" s="136"/>
      <c r="Y294" s="136"/>
      <c r="Z294" s="136"/>
      <c r="AA294" s="136"/>
      <c r="AB294" s="136"/>
      <c r="AC294" s="136"/>
      <c r="AD294" s="136"/>
      <c r="AE294" s="329">
        <f t="shared" si="51"/>
        <v>0</v>
      </c>
      <c r="AF294" s="315" t="s">
        <v>605</v>
      </c>
      <c r="AG294" s="136"/>
    </row>
    <row r="295" spans="1:33" ht="18.75" customHeight="1" x14ac:dyDescent="0.3">
      <c r="A295" s="349">
        <v>45427</v>
      </c>
      <c r="B295" s="136"/>
      <c r="C295" s="136"/>
      <c r="D295" s="136"/>
      <c r="E295" s="136"/>
      <c r="F295" s="136"/>
      <c r="G295" s="136"/>
      <c r="H295" s="136"/>
      <c r="I295" s="136"/>
      <c r="J295" s="136"/>
      <c r="K295" s="136"/>
      <c r="L295" s="136"/>
      <c r="M295" s="136"/>
      <c r="N295" s="136"/>
      <c r="O295" s="136"/>
      <c r="P295" s="136"/>
      <c r="Q295" s="136"/>
      <c r="R295" s="136"/>
      <c r="S295" s="136"/>
      <c r="T295" s="136"/>
      <c r="U295" s="136"/>
      <c r="V295" s="136"/>
      <c r="W295" s="136"/>
      <c r="X295" s="136"/>
      <c r="Y295" s="136"/>
      <c r="Z295" s="136"/>
      <c r="AA295" s="136"/>
      <c r="AB295" s="136"/>
      <c r="AC295" s="136"/>
      <c r="AD295" s="136"/>
      <c r="AE295" s="329">
        <f t="shared" si="51"/>
        <v>0</v>
      </c>
      <c r="AF295" s="315" t="s">
        <v>606</v>
      </c>
      <c r="AG295" s="136"/>
    </row>
    <row r="296" spans="1:33" ht="18.75" customHeight="1" x14ac:dyDescent="0.3">
      <c r="A296" s="286">
        <v>45427</v>
      </c>
      <c r="B296" s="136"/>
      <c r="C296" s="136"/>
      <c r="D296" s="136"/>
      <c r="E296" s="136"/>
      <c r="F296" s="136"/>
      <c r="G296" s="136"/>
      <c r="H296" s="136"/>
      <c r="I296" s="136"/>
      <c r="J296" s="136"/>
      <c r="K296" s="136"/>
      <c r="L296" s="136"/>
      <c r="M296" s="136"/>
      <c r="N296" s="136"/>
      <c r="O296" s="136"/>
      <c r="P296" s="136"/>
      <c r="Q296" s="136"/>
      <c r="R296" s="136"/>
      <c r="S296" s="136"/>
      <c r="T296" s="136"/>
      <c r="U296" s="136"/>
      <c r="V296" s="136"/>
      <c r="W296" s="136"/>
      <c r="X296" s="136"/>
      <c r="Y296" s="136"/>
      <c r="Z296" s="136"/>
      <c r="AA296" s="136"/>
      <c r="AB296" s="136"/>
      <c r="AC296" s="136"/>
      <c r="AD296" s="136"/>
      <c r="AE296" s="329">
        <f t="shared" si="51"/>
        <v>0</v>
      </c>
      <c r="AF296" s="350" t="s">
        <v>607</v>
      </c>
      <c r="AG296" s="136"/>
    </row>
    <row r="297" spans="1:33" ht="18.75" customHeight="1" x14ac:dyDescent="0.3">
      <c r="A297" s="349">
        <v>45429</v>
      </c>
      <c r="B297" s="136"/>
      <c r="C297" s="136"/>
      <c r="D297" s="136"/>
      <c r="E297" s="136"/>
      <c r="F297" s="136"/>
      <c r="G297" s="136"/>
      <c r="H297" s="136"/>
      <c r="I297" s="136"/>
      <c r="J297" s="136"/>
      <c r="K297" s="136"/>
      <c r="L297" s="136"/>
      <c r="M297" s="136"/>
      <c r="N297" s="136"/>
      <c r="O297" s="136"/>
      <c r="P297" s="136"/>
      <c r="Q297" s="136"/>
      <c r="R297" s="136"/>
      <c r="S297" s="136"/>
      <c r="T297" s="136"/>
      <c r="U297" s="136"/>
      <c r="V297" s="136"/>
      <c r="W297" s="136"/>
      <c r="X297" s="136"/>
      <c r="Y297" s="136"/>
      <c r="Z297" s="136"/>
      <c r="AA297" s="136"/>
      <c r="AB297" s="136"/>
      <c r="AC297" s="136"/>
      <c r="AD297" s="136"/>
      <c r="AE297" s="329">
        <f t="shared" si="51"/>
        <v>0</v>
      </c>
      <c r="AF297" s="315" t="s">
        <v>608</v>
      </c>
      <c r="AG297" s="136"/>
    </row>
    <row r="298" spans="1:33" ht="18.75" customHeight="1" x14ac:dyDescent="0.3">
      <c r="A298" s="349">
        <v>45429</v>
      </c>
      <c r="B298" s="136"/>
      <c r="C298" s="136"/>
      <c r="D298" s="136"/>
      <c r="E298" s="136"/>
      <c r="F298" s="136"/>
      <c r="G298" s="136"/>
      <c r="H298" s="136"/>
      <c r="I298" s="136"/>
      <c r="J298" s="136"/>
      <c r="K298" s="136"/>
      <c r="L298" s="136"/>
      <c r="M298" s="136"/>
      <c r="N298" s="136"/>
      <c r="O298" s="136"/>
      <c r="P298" s="136"/>
      <c r="Q298" s="136"/>
      <c r="R298" s="136"/>
      <c r="S298" s="136"/>
      <c r="T298" s="136"/>
      <c r="U298" s="136"/>
      <c r="V298" s="136"/>
      <c r="W298" s="136"/>
      <c r="X298" s="136"/>
      <c r="Y298" s="136"/>
      <c r="Z298" s="136"/>
      <c r="AA298" s="136"/>
      <c r="AB298" s="136"/>
      <c r="AC298" s="136"/>
      <c r="AD298" s="136"/>
      <c r="AE298" s="329">
        <f t="shared" si="51"/>
        <v>0</v>
      </c>
      <c r="AF298" s="315" t="s">
        <v>609</v>
      </c>
      <c r="AG298" s="136"/>
    </row>
    <row r="299" spans="1:33" ht="18.75" customHeight="1" x14ac:dyDescent="0.3">
      <c r="A299" s="349">
        <v>45429</v>
      </c>
      <c r="B299" s="136"/>
      <c r="C299" s="136"/>
      <c r="D299" s="136"/>
      <c r="E299" s="136"/>
      <c r="F299" s="136"/>
      <c r="G299" s="136"/>
      <c r="H299" s="136"/>
      <c r="I299" s="136"/>
      <c r="J299" s="136"/>
      <c r="K299" s="136"/>
      <c r="L299" s="136"/>
      <c r="M299" s="136"/>
      <c r="N299" s="136"/>
      <c r="O299" s="136"/>
      <c r="P299" s="136"/>
      <c r="Q299" s="136"/>
      <c r="R299" s="136"/>
      <c r="S299" s="136"/>
      <c r="T299" s="136"/>
      <c r="U299" s="136"/>
      <c r="V299" s="136"/>
      <c r="W299" s="136"/>
      <c r="X299" s="136"/>
      <c r="Y299" s="136"/>
      <c r="Z299" s="136"/>
      <c r="AA299" s="136"/>
      <c r="AB299" s="136"/>
      <c r="AC299" s="136"/>
      <c r="AD299" s="136"/>
      <c r="AE299" s="329">
        <f t="shared" si="51"/>
        <v>0</v>
      </c>
      <c r="AF299" s="315" t="s">
        <v>610</v>
      </c>
      <c r="AG299" s="136"/>
    </row>
    <row r="300" spans="1:33" ht="18.75" customHeight="1" x14ac:dyDescent="0.3">
      <c r="A300" s="349">
        <v>45429</v>
      </c>
      <c r="B300" s="136"/>
      <c r="C300" s="136"/>
      <c r="D300" s="136"/>
      <c r="E300" s="136"/>
      <c r="F300" s="136"/>
      <c r="G300" s="136"/>
      <c r="H300" s="136"/>
      <c r="I300" s="136"/>
      <c r="J300" s="136"/>
      <c r="K300" s="136"/>
      <c r="L300" s="136"/>
      <c r="M300" s="136"/>
      <c r="N300" s="136"/>
      <c r="O300" s="136"/>
      <c r="P300" s="136"/>
      <c r="Q300" s="136"/>
      <c r="R300" s="136"/>
      <c r="S300" s="136"/>
      <c r="T300" s="136"/>
      <c r="U300" s="136"/>
      <c r="V300" s="136"/>
      <c r="W300" s="136"/>
      <c r="X300" s="136"/>
      <c r="Y300" s="136"/>
      <c r="Z300" s="136"/>
      <c r="AA300" s="136"/>
      <c r="AB300" s="136"/>
      <c r="AC300" s="136"/>
      <c r="AD300" s="136"/>
      <c r="AE300" s="329">
        <f t="shared" si="51"/>
        <v>0</v>
      </c>
      <c r="AF300" s="315" t="s">
        <v>611</v>
      </c>
      <c r="AG300" s="136"/>
    </row>
    <row r="301" spans="1:33" ht="18.75" customHeight="1" x14ac:dyDescent="0.3">
      <c r="A301" s="349">
        <v>45432</v>
      </c>
      <c r="B301" s="136"/>
      <c r="C301" s="136"/>
      <c r="D301" s="136"/>
      <c r="E301" s="136"/>
      <c r="F301" s="136"/>
      <c r="G301" s="136"/>
      <c r="H301" s="136"/>
      <c r="I301" s="136"/>
      <c r="J301" s="136"/>
      <c r="K301" s="136"/>
      <c r="L301" s="136"/>
      <c r="M301" s="136"/>
      <c r="N301" s="136"/>
      <c r="O301" s="136"/>
      <c r="P301" s="136"/>
      <c r="Q301" s="136"/>
      <c r="R301" s="136"/>
      <c r="S301" s="136"/>
      <c r="T301" s="136"/>
      <c r="U301" s="136"/>
      <c r="V301" s="136"/>
      <c r="W301" s="136"/>
      <c r="X301" s="136"/>
      <c r="Y301" s="136"/>
      <c r="Z301" s="136"/>
      <c r="AA301" s="136"/>
      <c r="AB301" s="136"/>
      <c r="AC301" s="136"/>
      <c r="AD301" s="136"/>
      <c r="AE301" s="329">
        <f t="shared" si="51"/>
        <v>0</v>
      </c>
      <c r="AF301" s="315" t="s">
        <v>612</v>
      </c>
      <c r="AG301" s="136"/>
    </row>
    <row r="302" spans="1:33" ht="18.75" customHeight="1" x14ac:dyDescent="0.3">
      <c r="A302" s="349">
        <v>243758</v>
      </c>
      <c r="B302" s="136"/>
      <c r="C302" s="136"/>
      <c r="D302" s="136"/>
      <c r="E302" s="136"/>
      <c r="F302" s="136"/>
      <c r="G302" s="136"/>
      <c r="H302" s="136"/>
      <c r="I302" s="136"/>
      <c r="J302" s="136"/>
      <c r="K302" s="136"/>
      <c r="L302" s="136"/>
      <c r="M302" s="136"/>
      <c r="N302" s="136"/>
      <c r="O302" s="136"/>
      <c r="P302" s="136"/>
      <c r="Q302" s="136"/>
      <c r="R302" s="136"/>
      <c r="S302" s="136"/>
      <c r="T302" s="136"/>
      <c r="U302" s="136"/>
      <c r="V302" s="136"/>
      <c r="W302" s="136"/>
      <c r="X302" s="136"/>
      <c r="Y302" s="136"/>
      <c r="Z302" s="136"/>
      <c r="AA302" s="136"/>
      <c r="AB302" s="136"/>
      <c r="AC302" s="136"/>
      <c r="AD302" s="136"/>
      <c r="AE302" s="329">
        <f t="shared" si="51"/>
        <v>0</v>
      </c>
      <c r="AF302" s="315" t="s">
        <v>613</v>
      </c>
      <c r="AG302" s="136"/>
    </row>
    <row r="303" spans="1:33" ht="18.75" customHeight="1" x14ac:dyDescent="0.3">
      <c r="A303" s="349">
        <v>243758</v>
      </c>
      <c r="B303" s="136"/>
      <c r="C303" s="136"/>
      <c r="D303" s="136"/>
      <c r="E303" s="136"/>
      <c r="F303" s="136"/>
      <c r="G303" s="136"/>
      <c r="H303" s="136"/>
      <c r="I303" s="136"/>
      <c r="J303" s="136"/>
      <c r="K303" s="136"/>
      <c r="L303" s="136"/>
      <c r="M303" s="136"/>
      <c r="N303" s="136"/>
      <c r="O303" s="136"/>
      <c r="P303" s="136"/>
      <c r="Q303" s="136"/>
      <c r="R303" s="136"/>
      <c r="S303" s="136"/>
      <c r="T303" s="136"/>
      <c r="U303" s="136"/>
      <c r="V303" s="136"/>
      <c r="W303" s="136"/>
      <c r="X303" s="136"/>
      <c r="Y303" s="136"/>
      <c r="Z303" s="136"/>
      <c r="AA303" s="136"/>
      <c r="AB303" s="136"/>
      <c r="AC303" s="136"/>
      <c r="AD303" s="136"/>
      <c r="AE303" s="329">
        <f t="shared" si="51"/>
        <v>0</v>
      </c>
      <c r="AF303" s="315" t="s">
        <v>614</v>
      </c>
      <c r="AG303" s="136"/>
    </row>
    <row r="304" spans="1:33" ht="18.75" customHeight="1" x14ac:dyDescent="0.3">
      <c r="A304" s="349">
        <v>243758</v>
      </c>
      <c r="B304" s="136"/>
      <c r="C304" s="136"/>
      <c r="D304" s="136"/>
      <c r="E304" s="136"/>
      <c r="F304" s="136"/>
      <c r="G304" s="136"/>
      <c r="H304" s="136"/>
      <c r="I304" s="136"/>
      <c r="J304" s="136"/>
      <c r="K304" s="136"/>
      <c r="L304" s="136"/>
      <c r="M304" s="136"/>
      <c r="N304" s="136"/>
      <c r="O304" s="136"/>
      <c r="P304" s="136"/>
      <c r="Q304" s="136"/>
      <c r="R304" s="136"/>
      <c r="S304" s="136"/>
      <c r="T304" s="136"/>
      <c r="U304" s="136"/>
      <c r="V304" s="136"/>
      <c r="W304" s="136"/>
      <c r="X304" s="136"/>
      <c r="Y304" s="136"/>
      <c r="Z304" s="136"/>
      <c r="AA304" s="136"/>
      <c r="AB304" s="136"/>
      <c r="AC304" s="136"/>
      <c r="AD304" s="136"/>
      <c r="AE304" s="329">
        <f t="shared" si="51"/>
        <v>0</v>
      </c>
      <c r="AF304" s="315" t="s">
        <v>615</v>
      </c>
      <c r="AG304" s="136"/>
    </row>
    <row r="305" spans="1:33" ht="18.75" customHeight="1" x14ac:dyDescent="0.3">
      <c r="A305" s="349">
        <v>45432</v>
      </c>
      <c r="B305" s="136"/>
      <c r="C305" s="136"/>
      <c r="D305" s="136"/>
      <c r="E305" s="136"/>
      <c r="F305" s="136"/>
      <c r="G305" s="136"/>
      <c r="H305" s="136"/>
      <c r="I305" s="136"/>
      <c r="J305" s="136"/>
      <c r="K305" s="136"/>
      <c r="L305" s="136"/>
      <c r="M305" s="136"/>
      <c r="N305" s="136"/>
      <c r="O305" s="136"/>
      <c r="P305" s="136"/>
      <c r="Q305" s="136"/>
      <c r="R305" s="136"/>
      <c r="S305" s="136"/>
      <c r="T305" s="136"/>
      <c r="U305" s="136"/>
      <c r="V305" s="136"/>
      <c r="W305" s="136"/>
      <c r="X305" s="136"/>
      <c r="Y305" s="136"/>
      <c r="Z305" s="136"/>
      <c r="AA305" s="136"/>
      <c r="AB305" s="136"/>
      <c r="AC305" s="136"/>
      <c r="AD305" s="136"/>
      <c r="AE305" s="329">
        <f t="shared" si="51"/>
        <v>0</v>
      </c>
      <c r="AF305" s="315" t="s">
        <v>616</v>
      </c>
      <c r="AG305" s="136"/>
    </row>
    <row r="306" spans="1:33" ht="18.75" customHeight="1" x14ac:dyDescent="0.3">
      <c r="A306" s="349">
        <v>45432</v>
      </c>
      <c r="B306" s="136"/>
      <c r="C306" s="136"/>
      <c r="D306" s="136"/>
      <c r="E306" s="136"/>
      <c r="F306" s="136"/>
      <c r="G306" s="136"/>
      <c r="H306" s="136"/>
      <c r="I306" s="136"/>
      <c r="J306" s="136"/>
      <c r="K306" s="136"/>
      <c r="L306" s="136"/>
      <c r="M306" s="136"/>
      <c r="N306" s="136"/>
      <c r="O306" s="136"/>
      <c r="P306" s="136"/>
      <c r="Q306" s="136"/>
      <c r="R306" s="136"/>
      <c r="S306" s="136"/>
      <c r="T306" s="136"/>
      <c r="U306" s="136"/>
      <c r="V306" s="136"/>
      <c r="W306" s="136"/>
      <c r="X306" s="136"/>
      <c r="Y306" s="136"/>
      <c r="Z306" s="136"/>
      <c r="AA306" s="136"/>
      <c r="AB306" s="136"/>
      <c r="AC306" s="136"/>
      <c r="AD306" s="136"/>
      <c r="AE306" s="329">
        <f t="shared" si="51"/>
        <v>0</v>
      </c>
      <c r="AF306" s="315" t="s">
        <v>617</v>
      </c>
      <c r="AG306" s="136"/>
    </row>
    <row r="307" spans="1:33" ht="18.75" customHeight="1" x14ac:dyDescent="0.3">
      <c r="A307" s="349">
        <v>45432</v>
      </c>
      <c r="B307" s="136"/>
      <c r="C307" s="136"/>
      <c r="D307" s="136"/>
      <c r="E307" s="136"/>
      <c r="F307" s="136"/>
      <c r="G307" s="136"/>
      <c r="H307" s="304"/>
      <c r="I307" s="136"/>
      <c r="J307" s="136"/>
      <c r="K307" s="136"/>
      <c r="L307" s="136"/>
      <c r="M307" s="136"/>
      <c r="N307" s="136"/>
      <c r="O307" s="136"/>
      <c r="P307" s="136"/>
      <c r="Q307" s="136"/>
      <c r="R307" s="136"/>
      <c r="S307" s="136"/>
      <c r="T307" s="136"/>
      <c r="U307" s="136"/>
      <c r="V307" s="136"/>
      <c r="W307" s="136"/>
      <c r="X307" s="136"/>
      <c r="Y307" s="136"/>
      <c r="Z307" s="136"/>
      <c r="AA307" s="136"/>
      <c r="AB307" s="136"/>
      <c r="AC307" s="136"/>
      <c r="AD307" s="136"/>
      <c r="AE307" s="329">
        <f t="shared" si="51"/>
        <v>0</v>
      </c>
      <c r="AF307" s="315" t="s">
        <v>618</v>
      </c>
      <c r="AG307" s="136"/>
    </row>
    <row r="308" spans="1:33" ht="18.75" customHeight="1" x14ac:dyDescent="0.3">
      <c r="A308" s="349">
        <v>45432</v>
      </c>
      <c r="B308" s="136"/>
      <c r="C308" s="136"/>
      <c r="D308" s="136"/>
      <c r="E308" s="136"/>
      <c r="F308" s="136"/>
      <c r="G308" s="136"/>
      <c r="H308" s="136"/>
      <c r="I308" s="136"/>
      <c r="J308" s="136"/>
      <c r="K308" s="136"/>
      <c r="L308" s="136"/>
      <c r="M308" s="136"/>
      <c r="N308" s="136"/>
      <c r="O308" s="136"/>
      <c r="P308" s="136"/>
      <c r="Q308" s="136"/>
      <c r="R308" s="136"/>
      <c r="S308" s="136"/>
      <c r="T308" s="136"/>
      <c r="U308" s="136"/>
      <c r="V308" s="136"/>
      <c r="W308" s="136"/>
      <c r="X308" s="136"/>
      <c r="Y308" s="136"/>
      <c r="Z308" s="136"/>
      <c r="AA308" s="136"/>
      <c r="AB308" s="136"/>
      <c r="AC308" s="136"/>
      <c r="AD308" s="136"/>
      <c r="AE308" s="329">
        <f t="shared" si="51"/>
        <v>0</v>
      </c>
      <c r="AF308" s="315" t="s">
        <v>619</v>
      </c>
      <c r="AG308" s="136"/>
    </row>
    <row r="309" spans="1:33" ht="18.75" customHeight="1" x14ac:dyDescent="0.3">
      <c r="A309" s="349">
        <v>45432</v>
      </c>
      <c r="B309" s="136"/>
      <c r="C309" s="136"/>
      <c r="D309" s="136"/>
      <c r="E309" s="136"/>
      <c r="F309" s="136"/>
      <c r="G309" s="136"/>
      <c r="H309" s="136"/>
      <c r="I309" s="136"/>
      <c r="J309" s="136"/>
      <c r="K309" s="136"/>
      <c r="L309" s="136"/>
      <c r="M309" s="136"/>
      <c r="N309" s="136"/>
      <c r="O309" s="136"/>
      <c r="P309" s="136"/>
      <c r="Q309" s="136"/>
      <c r="R309" s="136"/>
      <c r="S309" s="136"/>
      <c r="T309" s="136"/>
      <c r="U309" s="136"/>
      <c r="V309" s="136"/>
      <c r="W309" s="136"/>
      <c r="X309" s="136"/>
      <c r="Y309" s="136"/>
      <c r="Z309" s="136"/>
      <c r="AA309" s="136"/>
      <c r="AB309" s="136"/>
      <c r="AC309" s="136"/>
      <c r="AD309" s="136"/>
      <c r="AE309" s="329">
        <f t="shared" si="51"/>
        <v>0</v>
      </c>
      <c r="AF309" s="315" t="s">
        <v>620</v>
      </c>
      <c r="AG309" s="136"/>
    </row>
    <row r="310" spans="1:33" ht="18.75" customHeight="1" x14ac:dyDescent="0.3">
      <c r="A310" s="349">
        <v>45432</v>
      </c>
      <c r="B310" s="136"/>
      <c r="C310" s="136"/>
      <c r="D310" s="136"/>
      <c r="E310" s="136"/>
      <c r="F310" s="136"/>
      <c r="G310" s="136"/>
      <c r="H310" s="136"/>
      <c r="I310" s="136"/>
      <c r="J310" s="136"/>
      <c r="K310" s="136"/>
      <c r="L310" s="136"/>
      <c r="M310" s="136"/>
      <c r="N310" s="136"/>
      <c r="O310" s="136"/>
      <c r="P310" s="136"/>
      <c r="Q310" s="136"/>
      <c r="R310" s="136"/>
      <c r="S310" s="136"/>
      <c r="T310" s="136"/>
      <c r="U310" s="136"/>
      <c r="V310" s="136"/>
      <c r="W310" s="136"/>
      <c r="X310" s="136"/>
      <c r="Y310" s="136"/>
      <c r="Z310" s="136"/>
      <c r="AA310" s="136"/>
      <c r="AB310" s="136"/>
      <c r="AC310" s="136"/>
      <c r="AD310" s="136"/>
      <c r="AE310" s="329">
        <f t="shared" si="51"/>
        <v>0</v>
      </c>
      <c r="AF310" s="315" t="s">
        <v>621</v>
      </c>
      <c r="AG310" s="136"/>
    </row>
    <row r="311" spans="1:33" ht="18.75" customHeight="1" x14ac:dyDescent="0.3">
      <c r="A311" s="349">
        <v>45432</v>
      </c>
      <c r="B311" s="136"/>
      <c r="C311" s="136"/>
      <c r="D311" s="136"/>
      <c r="E311" s="136"/>
      <c r="F311" s="136"/>
      <c r="G311" s="136"/>
      <c r="H311" s="136"/>
      <c r="I311" s="136"/>
      <c r="J311" s="136"/>
      <c r="K311" s="136"/>
      <c r="L311" s="136"/>
      <c r="M311" s="136"/>
      <c r="N311" s="136"/>
      <c r="O311" s="136"/>
      <c r="P311" s="136"/>
      <c r="Q311" s="136"/>
      <c r="R311" s="136"/>
      <c r="S311" s="136"/>
      <c r="T311" s="136"/>
      <c r="U311" s="136"/>
      <c r="V311" s="136"/>
      <c r="W311" s="136"/>
      <c r="X311" s="136"/>
      <c r="Y311" s="136"/>
      <c r="Z311" s="136"/>
      <c r="AA311" s="136"/>
      <c r="AB311" s="136"/>
      <c r="AC311" s="136"/>
      <c r="AD311" s="136"/>
      <c r="AE311" s="329">
        <f t="shared" ref="AE311:AE333" si="52">SUM(B311:AD311)</f>
        <v>0</v>
      </c>
      <c r="AF311" s="315" t="s">
        <v>622</v>
      </c>
      <c r="AG311" s="136"/>
    </row>
    <row r="312" spans="1:33" ht="18.75" customHeight="1" x14ac:dyDescent="0.3">
      <c r="A312" s="349">
        <v>45432</v>
      </c>
      <c r="B312" s="136"/>
      <c r="C312" s="136"/>
      <c r="D312" s="136"/>
      <c r="E312" s="136"/>
      <c r="F312" s="136"/>
      <c r="G312" s="136"/>
      <c r="H312" s="136"/>
      <c r="I312" s="136"/>
      <c r="J312" s="136"/>
      <c r="K312" s="136"/>
      <c r="L312" s="136"/>
      <c r="M312" s="136"/>
      <c r="N312" s="136"/>
      <c r="O312" s="136"/>
      <c r="P312" s="136"/>
      <c r="Q312" s="136"/>
      <c r="R312" s="136"/>
      <c r="S312" s="136"/>
      <c r="T312" s="136"/>
      <c r="U312" s="136"/>
      <c r="V312" s="136"/>
      <c r="W312" s="136"/>
      <c r="X312" s="136"/>
      <c r="Y312" s="136"/>
      <c r="Z312" s="136"/>
      <c r="AA312" s="136"/>
      <c r="AB312" s="136"/>
      <c r="AC312" s="136"/>
      <c r="AD312" s="136"/>
      <c r="AE312" s="329">
        <f t="shared" si="52"/>
        <v>0</v>
      </c>
      <c r="AF312" s="315" t="s">
        <v>623</v>
      </c>
      <c r="AG312" s="136"/>
    </row>
    <row r="313" spans="1:33" ht="18.75" customHeight="1" x14ac:dyDescent="0.3">
      <c r="A313" s="351">
        <v>45432</v>
      </c>
      <c r="B313" s="136"/>
      <c r="C313" s="136"/>
      <c r="D313" s="136"/>
      <c r="E313" s="136"/>
      <c r="F313" s="136"/>
      <c r="G313" s="136"/>
      <c r="H313" s="136"/>
      <c r="I313" s="136"/>
      <c r="J313" s="136"/>
      <c r="K313" s="136"/>
      <c r="L313" s="136"/>
      <c r="M313" s="304"/>
      <c r="N313" s="136"/>
      <c r="O313" s="136"/>
      <c r="P313" s="136"/>
      <c r="Q313" s="136"/>
      <c r="R313" s="136"/>
      <c r="S313" s="136"/>
      <c r="T313" s="136"/>
      <c r="U313" s="136"/>
      <c r="V313" s="136"/>
      <c r="W313" s="136"/>
      <c r="X313" s="136"/>
      <c r="Y313" s="136"/>
      <c r="Z313" s="136"/>
      <c r="AA313" s="136"/>
      <c r="AB313" s="136"/>
      <c r="AC313" s="136"/>
      <c r="AD313" s="136"/>
      <c r="AE313" s="329">
        <f t="shared" si="52"/>
        <v>0</v>
      </c>
      <c r="AF313" s="352" t="s">
        <v>624</v>
      </c>
      <c r="AG313" s="136"/>
    </row>
    <row r="314" spans="1:33" ht="18.75" customHeight="1" x14ac:dyDescent="0.3">
      <c r="A314" s="349">
        <v>45432</v>
      </c>
      <c r="B314" s="136"/>
      <c r="C314" s="136"/>
      <c r="D314" s="136"/>
      <c r="E314" s="136"/>
      <c r="F314" s="136"/>
      <c r="G314" s="136"/>
      <c r="H314" s="136"/>
      <c r="I314" s="136"/>
      <c r="J314" s="136"/>
      <c r="K314" s="136"/>
      <c r="L314" s="136"/>
      <c r="M314" s="136"/>
      <c r="N314" s="136"/>
      <c r="O314" s="136"/>
      <c r="P314" s="136"/>
      <c r="Q314" s="136"/>
      <c r="R314" s="136"/>
      <c r="S314" s="136"/>
      <c r="T314" s="136"/>
      <c r="U314" s="136"/>
      <c r="V314" s="136"/>
      <c r="W314" s="136"/>
      <c r="X314" s="136"/>
      <c r="Y314" s="136"/>
      <c r="Z314" s="136"/>
      <c r="AA314" s="136"/>
      <c r="AB314" s="136"/>
      <c r="AC314" s="136"/>
      <c r="AD314" s="136"/>
      <c r="AE314" s="329">
        <f t="shared" si="52"/>
        <v>0</v>
      </c>
      <c r="AF314" s="315" t="s">
        <v>625</v>
      </c>
      <c r="AG314" s="136"/>
    </row>
    <row r="315" spans="1:33" ht="18.75" customHeight="1" x14ac:dyDescent="0.3">
      <c r="A315" s="349">
        <v>45435</v>
      </c>
      <c r="B315" s="136"/>
      <c r="C315" s="136"/>
      <c r="D315" s="136"/>
      <c r="E315" s="136"/>
      <c r="F315" s="136"/>
      <c r="G315" s="136"/>
      <c r="H315" s="136"/>
      <c r="I315" s="136"/>
      <c r="J315" s="136"/>
      <c r="K315" s="136"/>
      <c r="L315" s="136"/>
      <c r="M315" s="136"/>
      <c r="N315" s="136"/>
      <c r="O315" s="136"/>
      <c r="P315" s="136"/>
      <c r="Q315" s="136"/>
      <c r="R315" s="136"/>
      <c r="S315" s="136"/>
      <c r="T315" s="136"/>
      <c r="U315" s="136"/>
      <c r="V315" s="136"/>
      <c r="W315" s="136"/>
      <c r="X315" s="136"/>
      <c r="Y315" s="136"/>
      <c r="Z315" s="136"/>
      <c r="AA315" s="136"/>
      <c r="AB315" s="136"/>
      <c r="AC315" s="136"/>
      <c r="AD315" s="136"/>
      <c r="AE315" s="329">
        <f t="shared" si="52"/>
        <v>0</v>
      </c>
      <c r="AF315" s="315" t="s">
        <v>626</v>
      </c>
      <c r="AG315" s="136"/>
    </row>
    <row r="316" spans="1:33" ht="18.75" customHeight="1" x14ac:dyDescent="0.3">
      <c r="A316" s="349">
        <v>45435</v>
      </c>
      <c r="B316" s="136"/>
      <c r="C316" s="136"/>
      <c r="D316" s="136"/>
      <c r="E316" s="136"/>
      <c r="F316" s="136"/>
      <c r="G316" s="136"/>
      <c r="H316" s="136"/>
      <c r="I316" s="136"/>
      <c r="J316" s="136"/>
      <c r="K316" s="136"/>
      <c r="L316" s="136"/>
      <c r="M316" s="136"/>
      <c r="N316" s="136"/>
      <c r="O316" s="136"/>
      <c r="P316" s="136"/>
      <c r="Q316" s="136"/>
      <c r="R316" s="136"/>
      <c r="S316" s="136"/>
      <c r="T316" s="136"/>
      <c r="U316" s="136"/>
      <c r="V316" s="136"/>
      <c r="W316" s="136"/>
      <c r="X316" s="136"/>
      <c r="Y316" s="136"/>
      <c r="Z316" s="136"/>
      <c r="AA316" s="136"/>
      <c r="AB316" s="136"/>
      <c r="AC316" s="136"/>
      <c r="AD316" s="136"/>
      <c r="AE316" s="329">
        <f t="shared" si="52"/>
        <v>0</v>
      </c>
      <c r="AF316" s="315" t="s">
        <v>627</v>
      </c>
      <c r="AG316" s="136"/>
    </row>
    <row r="317" spans="1:33" ht="18.75" customHeight="1" x14ac:dyDescent="0.3">
      <c r="A317" s="349">
        <v>45435</v>
      </c>
      <c r="B317" s="136"/>
      <c r="C317" s="136"/>
      <c r="D317" s="136"/>
      <c r="E317" s="136"/>
      <c r="F317" s="136"/>
      <c r="G317" s="136"/>
      <c r="H317" s="136"/>
      <c r="I317" s="136"/>
      <c r="J317" s="136"/>
      <c r="K317" s="136"/>
      <c r="L317" s="136"/>
      <c r="M317" s="136"/>
      <c r="N317" s="136"/>
      <c r="O317" s="136"/>
      <c r="P317" s="136"/>
      <c r="Q317" s="136"/>
      <c r="R317" s="136"/>
      <c r="S317" s="136"/>
      <c r="T317" s="136"/>
      <c r="U317" s="136"/>
      <c r="V317" s="136"/>
      <c r="W317" s="136"/>
      <c r="X317" s="136"/>
      <c r="Y317" s="136"/>
      <c r="Z317" s="136"/>
      <c r="AA317" s="136"/>
      <c r="AB317" s="136"/>
      <c r="AC317" s="136"/>
      <c r="AD317" s="136"/>
      <c r="AE317" s="329">
        <f t="shared" si="52"/>
        <v>0</v>
      </c>
      <c r="AF317" s="315" t="s">
        <v>628</v>
      </c>
      <c r="AG317" s="136"/>
    </row>
    <row r="318" spans="1:33" ht="18.75" customHeight="1" x14ac:dyDescent="0.3">
      <c r="A318" s="349">
        <v>45436</v>
      </c>
      <c r="B318" s="136"/>
      <c r="C318" s="136"/>
      <c r="D318" s="136"/>
      <c r="E318" s="136"/>
      <c r="F318" s="136"/>
      <c r="G318" s="136"/>
      <c r="H318" s="136"/>
      <c r="I318" s="136"/>
      <c r="J318" s="136"/>
      <c r="K318" s="136"/>
      <c r="L318" s="136"/>
      <c r="M318" s="136"/>
      <c r="N318" s="136"/>
      <c r="O318" s="136"/>
      <c r="P318" s="136"/>
      <c r="Q318" s="136"/>
      <c r="R318" s="136"/>
      <c r="S318" s="136"/>
      <c r="T318" s="136"/>
      <c r="U318" s="136"/>
      <c r="V318" s="136"/>
      <c r="W318" s="136"/>
      <c r="X318" s="136"/>
      <c r="Y318" s="136"/>
      <c r="Z318" s="136"/>
      <c r="AA318" s="136"/>
      <c r="AB318" s="136"/>
      <c r="AC318" s="136"/>
      <c r="AD318" s="136"/>
      <c r="AE318" s="329">
        <f t="shared" si="52"/>
        <v>0</v>
      </c>
      <c r="AF318" s="315" t="s">
        <v>629</v>
      </c>
      <c r="AG318" s="136"/>
    </row>
    <row r="319" spans="1:33" ht="18.75" customHeight="1" x14ac:dyDescent="0.3">
      <c r="A319" s="349">
        <v>45436</v>
      </c>
      <c r="B319" s="136"/>
      <c r="C319" s="136"/>
      <c r="D319" s="136"/>
      <c r="E319" s="136"/>
      <c r="F319" s="136"/>
      <c r="G319" s="136"/>
      <c r="H319" s="136"/>
      <c r="I319" s="136"/>
      <c r="J319" s="136"/>
      <c r="K319" s="136"/>
      <c r="L319" s="136"/>
      <c r="M319" s="136"/>
      <c r="N319" s="136"/>
      <c r="O319" s="136"/>
      <c r="P319" s="136"/>
      <c r="Q319" s="136"/>
      <c r="R319" s="136"/>
      <c r="S319" s="136"/>
      <c r="T319" s="136"/>
      <c r="U319" s="136"/>
      <c r="V319" s="136"/>
      <c r="W319" s="136"/>
      <c r="X319" s="136"/>
      <c r="Y319" s="136"/>
      <c r="Z319" s="136"/>
      <c r="AA319" s="136"/>
      <c r="AB319" s="136"/>
      <c r="AC319" s="136"/>
      <c r="AD319" s="136"/>
      <c r="AE319" s="329">
        <f t="shared" si="52"/>
        <v>0</v>
      </c>
      <c r="AF319" s="315" t="s">
        <v>630</v>
      </c>
      <c r="AG319" s="136"/>
    </row>
    <row r="320" spans="1:33" ht="18.75" customHeight="1" x14ac:dyDescent="0.3">
      <c r="A320" s="349">
        <v>45439</v>
      </c>
      <c r="B320" s="136"/>
      <c r="C320" s="136"/>
      <c r="D320" s="136"/>
      <c r="E320" s="136"/>
      <c r="F320" s="136"/>
      <c r="G320" s="136"/>
      <c r="H320" s="136"/>
      <c r="I320" s="136"/>
      <c r="J320" s="136"/>
      <c r="K320" s="136"/>
      <c r="L320" s="136"/>
      <c r="M320" s="136"/>
      <c r="N320" s="136"/>
      <c r="O320" s="136"/>
      <c r="P320" s="136"/>
      <c r="Q320" s="136"/>
      <c r="R320" s="136"/>
      <c r="S320" s="136"/>
      <c r="T320" s="136"/>
      <c r="U320" s="136"/>
      <c r="V320" s="136"/>
      <c r="W320" s="136"/>
      <c r="X320" s="136"/>
      <c r="Y320" s="136"/>
      <c r="Z320" s="136"/>
      <c r="AA320" s="136"/>
      <c r="AB320" s="136"/>
      <c r="AC320" s="136"/>
      <c r="AD320" s="136"/>
      <c r="AE320" s="329">
        <f t="shared" si="52"/>
        <v>0</v>
      </c>
      <c r="AF320" s="315" t="s">
        <v>631</v>
      </c>
      <c r="AG320" s="136"/>
    </row>
    <row r="321" spans="1:33" ht="18.75" customHeight="1" x14ac:dyDescent="0.3">
      <c r="A321" s="349">
        <v>45439</v>
      </c>
      <c r="B321" s="136"/>
      <c r="C321" s="136"/>
      <c r="D321" s="136"/>
      <c r="E321" s="136"/>
      <c r="F321" s="136"/>
      <c r="G321" s="136"/>
      <c r="H321" s="136"/>
      <c r="I321" s="136"/>
      <c r="J321" s="136"/>
      <c r="K321" s="136"/>
      <c r="L321" s="136"/>
      <c r="M321" s="136"/>
      <c r="N321" s="136"/>
      <c r="O321" s="136"/>
      <c r="P321" s="136"/>
      <c r="Q321" s="136"/>
      <c r="R321" s="136"/>
      <c r="S321" s="136"/>
      <c r="T321" s="136"/>
      <c r="U321" s="136"/>
      <c r="V321" s="136"/>
      <c r="W321" s="136"/>
      <c r="X321" s="136"/>
      <c r="Y321" s="136"/>
      <c r="Z321" s="136"/>
      <c r="AA321" s="136"/>
      <c r="AB321" s="136"/>
      <c r="AC321" s="136"/>
      <c r="AD321" s="136"/>
      <c r="AE321" s="329">
        <f t="shared" si="52"/>
        <v>0</v>
      </c>
      <c r="AF321" s="315" t="s">
        <v>632</v>
      </c>
      <c r="AG321" s="136"/>
    </row>
    <row r="322" spans="1:33" ht="18.75" customHeight="1" x14ac:dyDescent="0.3">
      <c r="A322" s="349">
        <v>45439</v>
      </c>
      <c r="B322" s="136"/>
      <c r="C322" s="136"/>
      <c r="D322" s="136"/>
      <c r="E322" s="136"/>
      <c r="F322" s="136"/>
      <c r="G322" s="136"/>
      <c r="H322" s="136"/>
      <c r="I322" s="136"/>
      <c r="J322" s="136"/>
      <c r="K322" s="136"/>
      <c r="L322" s="136"/>
      <c r="M322" s="136"/>
      <c r="N322" s="136"/>
      <c r="O322" s="136"/>
      <c r="P322" s="136"/>
      <c r="Q322" s="136"/>
      <c r="R322" s="136"/>
      <c r="S322" s="136"/>
      <c r="T322" s="136"/>
      <c r="U322" s="136"/>
      <c r="V322" s="136"/>
      <c r="W322" s="136"/>
      <c r="X322" s="136"/>
      <c r="Y322" s="136"/>
      <c r="Z322" s="136"/>
      <c r="AA322" s="136"/>
      <c r="AB322" s="136"/>
      <c r="AC322" s="136"/>
      <c r="AD322" s="136"/>
      <c r="AE322" s="329">
        <f t="shared" si="52"/>
        <v>0</v>
      </c>
      <c r="AF322" s="315" t="s">
        <v>633</v>
      </c>
      <c r="AG322" s="136"/>
    </row>
    <row r="323" spans="1:33" ht="18.75" customHeight="1" x14ac:dyDescent="0.3">
      <c r="A323" s="349">
        <v>45440</v>
      </c>
      <c r="B323" s="136"/>
      <c r="C323" s="136"/>
      <c r="D323" s="136"/>
      <c r="E323" s="136"/>
      <c r="F323" s="136"/>
      <c r="G323" s="136"/>
      <c r="H323" s="136"/>
      <c r="I323" s="136"/>
      <c r="J323" s="136"/>
      <c r="K323" s="136"/>
      <c r="L323" s="136"/>
      <c r="M323" s="136"/>
      <c r="N323" s="136"/>
      <c r="O323" s="136"/>
      <c r="P323" s="136"/>
      <c r="Q323" s="136"/>
      <c r="R323" s="136"/>
      <c r="S323" s="136"/>
      <c r="T323" s="136"/>
      <c r="U323" s="136"/>
      <c r="V323" s="136"/>
      <c r="W323" s="136"/>
      <c r="X323" s="136"/>
      <c r="Y323" s="136"/>
      <c r="Z323" s="136"/>
      <c r="AA323" s="136"/>
      <c r="AB323" s="136"/>
      <c r="AC323" s="136"/>
      <c r="AD323" s="136"/>
      <c r="AE323" s="329">
        <f t="shared" si="52"/>
        <v>0</v>
      </c>
      <c r="AF323" s="315" t="s">
        <v>634</v>
      </c>
      <c r="AG323" s="136"/>
    </row>
    <row r="324" spans="1:33" ht="18.75" customHeight="1" x14ac:dyDescent="0.3">
      <c r="A324" s="349">
        <v>45441</v>
      </c>
      <c r="B324" s="136"/>
      <c r="C324" s="136"/>
      <c r="D324" s="136"/>
      <c r="E324" s="136"/>
      <c r="F324" s="136"/>
      <c r="G324" s="136"/>
      <c r="H324" s="136"/>
      <c r="I324" s="136"/>
      <c r="J324" s="136"/>
      <c r="K324" s="136"/>
      <c r="L324" s="136"/>
      <c r="M324" s="136"/>
      <c r="N324" s="136"/>
      <c r="O324" s="136"/>
      <c r="P324" s="136"/>
      <c r="Q324" s="136"/>
      <c r="R324" s="136"/>
      <c r="S324" s="136"/>
      <c r="T324" s="136"/>
      <c r="U324" s="136"/>
      <c r="V324" s="136"/>
      <c r="W324" s="136"/>
      <c r="X324" s="136"/>
      <c r="Y324" s="136"/>
      <c r="Z324" s="136"/>
      <c r="AA324" s="136"/>
      <c r="AB324" s="136"/>
      <c r="AC324" s="136"/>
      <c r="AD324" s="136"/>
      <c r="AE324" s="329">
        <f t="shared" si="52"/>
        <v>0</v>
      </c>
      <c r="AF324" s="315" t="s">
        <v>635</v>
      </c>
      <c r="AG324" s="136"/>
    </row>
    <row r="325" spans="1:33" ht="18.75" customHeight="1" x14ac:dyDescent="0.3">
      <c r="A325" s="349">
        <v>45442</v>
      </c>
      <c r="B325" s="136"/>
      <c r="C325" s="136"/>
      <c r="D325" s="136"/>
      <c r="E325" s="136"/>
      <c r="F325" s="136"/>
      <c r="G325" s="136"/>
      <c r="H325" s="136"/>
      <c r="I325" s="136"/>
      <c r="J325" s="136"/>
      <c r="K325" s="136"/>
      <c r="L325" s="136"/>
      <c r="M325" s="136"/>
      <c r="N325" s="136"/>
      <c r="O325" s="136"/>
      <c r="P325" s="136"/>
      <c r="Q325" s="136"/>
      <c r="R325" s="136"/>
      <c r="S325" s="136"/>
      <c r="T325" s="136"/>
      <c r="U325" s="136"/>
      <c r="V325" s="136"/>
      <c r="W325" s="136"/>
      <c r="X325" s="136"/>
      <c r="Y325" s="136"/>
      <c r="Z325" s="136"/>
      <c r="AA325" s="136"/>
      <c r="AB325" s="136"/>
      <c r="AC325" s="136"/>
      <c r="AD325" s="136"/>
      <c r="AE325" s="329">
        <f t="shared" si="52"/>
        <v>0</v>
      </c>
      <c r="AF325" s="315" t="s">
        <v>636</v>
      </c>
      <c r="AG325" s="136"/>
    </row>
    <row r="326" spans="1:33" ht="18.75" customHeight="1" x14ac:dyDescent="0.3">
      <c r="A326" s="349">
        <v>45442</v>
      </c>
      <c r="B326" s="136"/>
      <c r="C326" s="136"/>
      <c r="D326" s="136"/>
      <c r="E326" s="136"/>
      <c r="F326" s="136"/>
      <c r="G326" s="136"/>
      <c r="H326" s="136"/>
      <c r="I326" s="136"/>
      <c r="J326" s="136"/>
      <c r="K326" s="136"/>
      <c r="L326" s="136"/>
      <c r="M326" s="136"/>
      <c r="N326" s="136"/>
      <c r="O326" s="136"/>
      <c r="P326" s="136"/>
      <c r="Q326" s="136"/>
      <c r="R326" s="136"/>
      <c r="S326" s="136"/>
      <c r="T326" s="136"/>
      <c r="U326" s="136"/>
      <c r="V326" s="136"/>
      <c r="W326" s="136"/>
      <c r="X326" s="136"/>
      <c r="Y326" s="136"/>
      <c r="Z326" s="136"/>
      <c r="AA326" s="136"/>
      <c r="AB326" s="136"/>
      <c r="AC326" s="136"/>
      <c r="AD326" s="136"/>
      <c r="AE326" s="329">
        <f t="shared" si="52"/>
        <v>0</v>
      </c>
      <c r="AF326" s="315" t="s">
        <v>637</v>
      </c>
      <c r="AG326" s="136"/>
    </row>
    <row r="327" spans="1:33" ht="18.75" customHeight="1" x14ac:dyDescent="0.3">
      <c r="A327" s="349">
        <v>45442</v>
      </c>
      <c r="B327" s="136"/>
      <c r="C327" s="136"/>
      <c r="D327" s="136"/>
      <c r="E327" s="136"/>
      <c r="F327" s="136"/>
      <c r="G327" s="136"/>
      <c r="H327" s="136"/>
      <c r="I327" s="136"/>
      <c r="J327" s="136"/>
      <c r="K327" s="136"/>
      <c r="L327" s="136"/>
      <c r="M327" s="136"/>
      <c r="N327" s="136"/>
      <c r="O327" s="136"/>
      <c r="P327" s="136"/>
      <c r="Q327" s="136"/>
      <c r="R327" s="136"/>
      <c r="S327" s="136"/>
      <c r="T327" s="136"/>
      <c r="U327" s="136"/>
      <c r="V327" s="136"/>
      <c r="W327" s="136"/>
      <c r="X327" s="136"/>
      <c r="Y327" s="136"/>
      <c r="Z327" s="136"/>
      <c r="AA327" s="136"/>
      <c r="AB327" s="136"/>
      <c r="AC327" s="136"/>
      <c r="AD327" s="136"/>
      <c r="AE327" s="329">
        <f t="shared" si="52"/>
        <v>0</v>
      </c>
      <c r="AF327" s="315" t="s">
        <v>638</v>
      </c>
      <c r="AG327" s="136"/>
    </row>
    <row r="328" spans="1:33" ht="18.75" customHeight="1" x14ac:dyDescent="0.3">
      <c r="A328" s="349">
        <v>45442</v>
      </c>
      <c r="B328" s="136"/>
      <c r="C328" s="136"/>
      <c r="D328" s="136"/>
      <c r="E328" s="136"/>
      <c r="F328" s="136"/>
      <c r="G328" s="136"/>
      <c r="H328" s="136"/>
      <c r="I328" s="136"/>
      <c r="J328" s="136"/>
      <c r="K328" s="136"/>
      <c r="L328" s="136"/>
      <c r="M328" s="136"/>
      <c r="N328" s="136"/>
      <c r="O328" s="136"/>
      <c r="P328" s="136"/>
      <c r="Q328" s="136"/>
      <c r="R328" s="136"/>
      <c r="S328" s="136"/>
      <c r="T328" s="136"/>
      <c r="U328" s="136"/>
      <c r="V328" s="136"/>
      <c r="W328" s="136"/>
      <c r="X328" s="136"/>
      <c r="Y328" s="136"/>
      <c r="Z328" s="136"/>
      <c r="AA328" s="136"/>
      <c r="AB328" s="136"/>
      <c r="AC328" s="136"/>
      <c r="AD328" s="136"/>
      <c r="AE328" s="329">
        <f t="shared" si="52"/>
        <v>0</v>
      </c>
      <c r="AF328" s="315" t="s">
        <v>639</v>
      </c>
      <c r="AG328" s="136"/>
    </row>
    <row r="329" spans="1:33" ht="18.75" customHeight="1" x14ac:dyDescent="0.3">
      <c r="A329" s="349">
        <v>45443</v>
      </c>
      <c r="B329" s="136"/>
      <c r="C329" s="136"/>
      <c r="D329" s="136"/>
      <c r="E329" s="136"/>
      <c r="F329" s="136"/>
      <c r="G329" s="136"/>
      <c r="H329" s="136"/>
      <c r="I329" s="136"/>
      <c r="J329" s="136"/>
      <c r="K329" s="136"/>
      <c r="L329" s="136"/>
      <c r="M329" s="136"/>
      <c r="N329" s="136"/>
      <c r="O329" s="136"/>
      <c r="P329" s="136"/>
      <c r="Q329" s="136"/>
      <c r="R329" s="136"/>
      <c r="S329" s="136"/>
      <c r="T329" s="136"/>
      <c r="U329" s="136"/>
      <c r="V329" s="136"/>
      <c r="W329" s="136"/>
      <c r="X329" s="136"/>
      <c r="Y329" s="136"/>
      <c r="Z329" s="136"/>
      <c r="AA329" s="136"/>
      <c r="AB329" s="136"/>
      <c r="AC329" s="136"/>
      <c r="AD329" s="136"/>
      <c r="AE329" s="329">
        <f t="shared" si="52"/>
        <v>0</v>
      </c>
      <c r="AF329" s="315" t="s">
        <v>640</v>
      </c>
      <c r="AG329" s="136"/>
    </row>
    <row r="330" spans="1:33" ht="18.75" customHeight="1" x14ac:dyDescent="0.3">
      <c r="A330" s="351">
        <v>45420</v>
      </c>
      <c r="B330" s="136"/>
      <c r="C330" s="136"/>
      <c r="D330" s="136"/>
      <c r="E330" s="136"/>
      <c r="F330" s="136"/>
      <c r="G330" s="136"/>
      <c r="H330" s="136"/>
      <c r="I330" s="136"/>
      <c r="J330" s="136"/>
      <c r="K330" s="136"/>
      <c r="L330" s="136"/>
      <c r="M330" s="136"/>
      <c r="N330" s="136"/>
      <c r="O330" s="136"/>
      <c r="P330" s="136"/>
      <c r="Q330" s="136"/>
      <c r="R330" s="136"/>
      <c r="S330" s="136"/>
      <c r="T330" s="136"/>
      <c r="U330" s="136"/>
      <c r="V330" s="136"/>
      <c r="W330" s="136"/>
      <c r="X330" s="136"/>
      <c r="Y330" s="136"/>
      <c r="Z330" s="136"/>
      <c r="AA330" s="136"/>
      <c r="AB330" s="136"/>
      <c r="AC330" s="136"/>
      <c r="AD330" s="136"/>
      <c r="AE330" s="329">
        <f t="shared" si="52"/>
        <v>0</v>
      </c>
      <c r="AF330" s="292" t="s">
        <v>641</v>
      </c>
      <c r="AG330" s="136"/>
    </row>
    <row r="331" spans="1:33" ht="18.75" customHeight="1" x14ac:dyDescent="0.3">
      <c r="A331" s="287" t="s">
        <v>241</v>
      </c>
      <c r="B331" s="279">
        <f t="shared" ref="B331:AD331" si="53">SUM(B278:B330)</f>
        <v>0</v>
      </c>
      <c r="C331" s="279">
        <f t="shared" si="53"/>
        <v>0</v>
      </c>
      <c r="D331" s="279">
        <f t="shared" si="53"/>
        <v>0</v>
      </c>
      <c r="E331" s="279">
        <f t="shared" si="53"/>
        <v>0</v>
      </c>
      <c r="F331" s="279">
        <f t="shared" si="53"/>
        <v>0</v>
      </c>
      <c r="G331" s="279">
        <f t="shared" si="53"/>
        <v>0</v>
      </c>
      <c r="H331" s="279">
        <f t="shared" si="53"/>
        <v>0</v>
      </c>
      <c r="I331" s="279">
        <f t="shared" si="53"/>
        <v>0</v>
      </c>
      <c r="J331" s="279">
        <f t="shared" si="53"/>
        <v>0</v>
      </c>
      <c r="K331" s="279">
        <f t="shared" si="53"/>
        <v>0</v>
      </c>
      <c r="L331" s="279">
        <f t="shared" si="53"/>
        <v>0</v>
      </c>
      <c r="M331" s="279">
        <f t="shared" si="53"/>
        <v>0</v>
      </c>
      <c r="N331" s="279">
        <f t="shared" si="53"/>
        <v>0</v>
      </c>
      <c r="O331" s="279">
        <f t="shared" si="53"/>
        <v>0</v>
      </c>
      <c r="P331" s="279">
        <f t="shared" si="53"/>
        <v>0</v>
      </c>
      <c r="Q331" s="279">
        <f t="shared" si="53"/>
        <v>0</v>
      </c>
      <c r="R331" s="279">
        <f t="shared" si="53"/>
        <v>0</v>
      </c>
      <c r="S331" s="279">
        <f t="shared" si="53"/>
        <v>0</v>
      </c>
      <c r="T331" s="279">
        <f t="shared" si="53"/>
        <v>0</v>
      </c>
      <c r="U331" s="279">
        <f t="shared" si="53"/>
        <v>0</v>
      </c>
      <c r="V331" s="279">
        <f t="shared" si="53"/>
        <v>0</v>
      </c>
      <c r="W331" s="279">
        <f t="shared" si="53"/>
        <v>0</v>
      </c>
      <c r="X331" s="279">
        <f t="shared" si="53"/>
        <v>0</v>
      </c>
      <c r="Y331" s="279">
        <f t="shared" si="53"/>
        <v>0</v>
      </c>
      <c r="Z331" s="279">
        <f t="shared" ref="Z331:AA331" si="54">SUM(Z278:Z330)</f>
        <v>0</v>
      </c>
      <c r="AA331" s="279">
        <f t="shared" si="54"/>
        <v>0</v>
      </c>
      <c r="AB331" s="279">
        <f t="shared" si="53"/>
        <v>0</v>
      </c>
      <c r="AC331" s="279">
        <f t="shared" si="53"/>
        <v>0</v>
      </c>
      <c r="AD331" s="279">
        <f t="shared" si="53"/>
        <v>0</v>
      </c>
      <c r="AE331" s="280">
        <f t="shared" si="52"/>
        <v>0</v>
      </c>
      <c r="AF331" s="339"/>
      <c r="AG331" s="340"/>
    </row>
    <row r="332" spans="1:33" ht="18.75" customHeight="1" x14ac:dyDescent="0.3">
      <c r="A332" s="287" t="s">
        <v>242</v>
      </c>
      <c r="B332" s="279">
        <f t="shared" ref="B332:AD332" si="55">SUM(B276+B331)</f>
        <v>51061.2</v>
      </c>
      <c r="C332" s="279">
        <f t="shared" si="55"/>
        <v>104149.33</v>
      </c>
      <c r="D332" s="279">
        <f t="shared" si="55"/>
        <v>3500</v>
      </c>
      <c r="E332" s="279">
        <f t="shared" si="55"/>
        <v>0</v>
      </c>
      <c r="F332" s="279">
        <f t="shared" si="55"/>
        <v>0</v>
      </c>
      <c r="G332" s="279">
        <f t="shared" si="55"/>
        <v>2600</v>
      </c>
      <c r="H332" s="279">
        <f t="shared" si="55"/>
        <v>0</v>
      </c>
      <c r="I332" s="279">
        <f t="shared" si="55"/>
        <v>49458</v>
      </c>
      <c r="J332" s="279">
        <f t="shared" si="55"/>
        <v>320434.92000000004</v>
      </c>
      <c r="K332" s="279">
        <f t="shared" si="55"/>
        <v>15200</v>
      </c>
      <c r="L332" s="279">
        <f t="shared" si="55"/>
        <v>66867</v>
      </c>
      <c r="M332" s="279">
        <f t="shared" si="55"/>
        <v>41505</v>
      </c>
      <c r="N332" s="279">
        <f t="shared" si="55"/>
        <v>0</v>
      </c>
      <c r="O332" s="279">
        <f t="shared" si="55"/>
        <v>0</v>
      </c>
      <c r="P332" s="279">
        <f t="shared" si="55"/>
        <v>0</v>
      </c>
      <c r="Q332" s="279">
        <f t="shared" si="55"/>
        <v>53499</v>
      </c>
      <c r="R332" s="279">
        <f t="shared" si="55"/>
        <v>27285</v>
      </c>
      <c r="S332" s="279">
        <f t="shared" si="55"/>
        <v>0</v>
      </c>
      <c r="T332" s="279">
        <f t="shared" si="55"/>
        <v>39162</v>
      </c>
      <c r="U332" s="279">
        <f t="shared" si="55"/>
        <v>270000</v>
      </c>
      <c r="V332" s="279">
        <f t="shared" si="55"/>
        <v>0</v>
      </c>
      <c r="W332" s="279">
        <f t="shared" si="55"/>
        <v>24824</v>
      </c>
      <c r="X332" s="279">
        <f t="shared" si="55"/>
        <v>75836.25</v>
      </c>
      <c r="Y332" s="279">
        <f t="shared" si="55"/>
        <v>0</v>
      </c>
      <c r="Z332" s="279">
        <f t="shared" ref="Z332:AA332" si="56">SUM(Z276+Z331)</f>
        <v>0</v>
      </c>
      <c r="AA332" s="279">
        <f t="shared" si="56"/>
        <v>0</v>
      </c>
      <c r="AB332" s="279">
        <f t="shared" si="55"/>
        <v>83280.240000000005</v>
      </c>
      <c r="AC332" s="279">
        <f t="shared" si="55"/>
        <v>131660.71</v>
      </c>
      <c r="AD332" s="279">
        <f t="shared" si="55"/>
        <v>0</v>
      </c>
      <c r="AE332" s="280">
        <f t="shared" si="52"/>
        <v>1360322.6500000001</v>
      </c>
      <c r="AF332" s="308"/>
      <c r="AG332" s="195"/>
    </row>
    <row r="333" spans="1:33" ht="18.75" customHeight="1" x14ac:dyDescent="0.3">
      <c r="A333" s="287" t="s">
        <v>243</v>
      </c>
      <c r="B333" s="279">
        <f t="shared" ref="B333:AD333" si="57">SUM(B277-B331)</f>
        <v>515738.8</v>
      </c>
      <c r="C333" s="279">
        <f t="shared" si="57"/>
        <v>45850.669999999991</v>
      </c>
      <c r="D333" s="279">
        <f t="shared" si="57"/>
        <v>324500</v>
      </c>
      <c r="E333" s="279">
        <f t="shared" si="57"/>
        <v>0</v>
      </c>
      <c r="F333" s="279">
        <f t="shared" si="57"/>
        <v>0</v>
      </c>
      <c r="G333" s="279">
        <f t="shared" si="57"/>
        <v>-2600</v>
      </c>
      <c r="H333" s="279">
        <f t="shared" si="57"/>
        <v>0</v>
      </c>
      <c r="I333" s="279">
        <f t="shared" si="57"/>
        <v>198442</v>
      </c>
      <c r="J333" s="279">
        <f t="shared" si="57"/>
        <v>-320434.92000000004</v>
      </c>
      <c r="K333" s="279">
        <f t="shared" si="57"/>
        <v>-15200</v>
      </c>
      <c r="L333" s="279">
        <f>SUM(L277-L331)</f>
        <v>183133</v>
      </c>
      <c r="M333" s="279">
        <f t="shared" si="57"/>
        <v>98495</v>
      </c>
      <c r="N333" s="279">
        <f t="shared" si="57"/>
        <v>0</v>
      </c>
      <c r="O333" s="279">
        <f t="shared" si="57"/>
        <v>0</v>
      </c>
      <c r="P333" s="279">
        <f t="shared" si="57"/>
        <v>0</v>
      </c>
      <c r="Q333" s="279">
        <f t="shared" si="57"/>
        <v>160501</v>
      </c>
      <c r="R333" s="279">
        <f t="shared" si="57"/>
        <v>361660</v>
      </c>
      <c r="S333" s="279">
        <f t="shared" si="57"/>
        <v>74900</v>
      </c>
      <c r="T333" s="279">
        <f t="shared" si="57"/>
        <v>1154497</v>
      </c>
      <c r="U333" s="279">
        <f t="shared" si="57"/>
        <v>1234800</v>
      </c>
      <c r="V333" s="279">
        <f t="shared" si="57"/>
        <v>189600</v>
      </c>
      <c r="W333" s="279">
        <f t="shared" si="57"/>
        <v>74472</v>
      </c>
      <c r="X333" s="279">
        <f t="shared" si="57"/>
        <v>84163.75</v>
      </c>
      <c r="Y333" s="279">
        <f t="shared" si="57"/>
        <v>8500000</v>
      </c>
      <c r="Z333" s="279">
        <f t="shared" ref="Z333:AA333" si="58">SUM(Z277-Z331)</f>
        <v>716400</v>
      </c>
      <c r="AA333" s="279">
        <f t="shared" si="58"/>
        <v>1113800</v>
      </c>
      <c r="AB333" s="279">
        <f t="shared" si="57"/>
        <v>91519.75999999998</v>
      </c>
      <c r="AC333" s="279">
        <f t="shared" si="57"/>
        <v>66339.290000000008</v>
      </c>
      <c r="AD333" s="279">
        <f t="shared" si="57"/>
        <v>0</v>
      </c>
      <c r="AE333" s="280">
        <f t="shared" si="52"/>
        <v>14850577.35</v>
      </c>
      <c r="AF333" s="308"/>
      <c r="AG333" s="195"/>
    </row>
    <row r="334" spans="1:33" ht="18.75" customHeight="1" x14ac:dyDescent="0.3">
      <c r="A334" s="284" t="s">
        <v>244</v>
      </c>
      <c r="B334" s="136"/>
      <c r="C334" s="136"/>
      <c r="D334" s="136"/>
      <c r="E334" s="136"/>
      <c r="F334" s="136"/>
      <c r="G334" s="136"/>
      <c r="H334" s="136"/>
      <c r="I334" s="136"/>
      <c r="J334" s="136"/>
      <c r="K334" s="136"/>
      <c r="L334" s="136"/>
      <c r="M334" s="136"/>
      <c r="N334" s="136"/>
      <c r="O334" s="136"/>
      <c r="P334" s="136"/>
      <c r="Q334" s="136"/>
      <c r="R334" s="136"/>
      <c r="S334" s="136"/>
      <c r="T334" s="136"/>
      <c r="U334" s="136"/>
      <c r="V334" s="136"/>
      <c r="W334" s="136"/>
      <c r="X334" s="136"/>
      <c r="Y334" s="136"/>
      <c r="Z334" s="136"/>
      <c r="AA334" s="136"/>
      <c r="AB334" s="136"/>
      <c r="AC334" s="136"/>
      <c r="AD334" s="136"/>
      <c r="AE334" s="145"/>
      <c r="AF334" s="272"/>
      <c r="AG334" s="136"/>
    </row>
    <row r="335" spans="1:33" ht="18.75" customHeight="1" x14ac:dyDescent="0.3">
      <c r="A335" s="281">
        <v>45447</v>
      </c>
      <c r="B335" s="975"/>
      <c r="C335" s="975"/>
      <c r="D335" s="975"/>
      <c r="E335" s="975"/>
      <c r="F335" s="975"/>
      <c r="G335" s="975"/>
      <c r="H335" s="975"/>
      <c r="I335" s="976"/>
      <c r="J335" s="975"/>
      <c r="K335" s="975"/>
      <c r="L335" s="975"/>
      <c r="M335" s="975"/>
      <c r="N335" s="975"/>
      <c r="O335" s="975"/>
      <c r="P335" s="975"/>
      <c r="Q335" s="975"/>
      <c r="R335" s="975"/>
      <c r="S335" s="975"/>
      <c r="T335" s="975"/>
      <c r="U335" s="975"/>
      <c r="V335" s="975"/>
      <c r="W335" s="975"/>
      <c r="X335" s="975"/>
      <c r="Y335" s="975"/>
      <c r="Z335" s="975"/>
      <c r="AA335" s="975"/>
      <c r="AB335" s="975"/>
      <c r="AC335" s="975"/>
      <c r="AD335" s="975"/>
      <c r="AE335" s="145">
        <f t="shared" ref="AE335:AE375" si="59">SUM(B335:AD335)</f>
        <v>0</v>
      </c>
      <c r="AF335" s="315" t="s">
        <v>642</v>
      </c>
      <c r="AG335" s="136"/>
    </row>
    <row r="336" spans="1:33" ht="18.75" customHeight="1" x14ac:dyDescent="0.3">
      <c r="A336" s="342">
        <v>24627</v>
      </c>
      <c r="B336" s="975"/>
      <c r="C336" s="975"/>
      <c r="D336" s="975"/>
      <c r="E336" s="975"/>
      <c r="F336" s="975"/>
      <c r="G336" s="975"/>
      <c r="H336" s="975"/>
      <c r="I336" s="975"/>
      <c r="J336" s="976"/>
      <c r="K336" s="975"/>
      <c r="L336" s="975"/>
      <c r="M336" s="975"/>
      <c r="N336" s="975"/>
      <c r="O336" s="975"/>
      <c r="P336" s="975"/>
      <c r="Q336" s="975"/>
      <c r="R336" s="975"/>
      <c r="S336" s="975"/>
      <c r="T336" s="975"/>
      <c r="U336" s="975"/>
      <c r="V336" s="975"/>
      <c r="W336" s="975"/>
      <c r="X336" s="975"/>
      <c r="Y336" s="975"/>
      <c r="Z336" s="975"/>
      <c r="AA336" s="975"/>
      <c r="AB336" s="975"/>
      <c r="AC336" s="975"/>
      <c r="AD336" s="975"/>
      <c r="AE336" s="145">
        <f t="shared" si="59"/>
        <v>0</v>
      </c>
      <c r="AF336" s="315" t="s">
        <v>643</v>
      </c>
      <c r="AG336" s="136"/>
    </row>
    <row r="337" spans="1:33" ht="18.75" customHeight="1" x14ac:dyDescent="0.3">
      <c r="A337" s="342">
        <v>45449</v>
      </c>
      <c r="B337" s="976"/>
      <c r="C337" s="975"/>
      <c r="D337" s="975"/>
      <c r="E337" s="975"/>
      <c r="F337" s="975"/>
      <c r="G337" s="975"/>
      <c r="H337" s="975"/>
      <c r="I337" s="975"/>
      <c r="J337" s="975"/>
      <c r="K337" s="975"/>
      <c r="L337" s="975"/>
      <c r="M337" s="975"/>
      <c r="N337" s="975"/>
      <c r="O337" s="975"/>
      <c r="P337" s="975"/>
      <c r="Q337" s="975"/>
      <c r="R337" s="975"/>
      <c r="S337" s="975"/>
      <c r="T337" s="975"/>
      <c r="U337" s="975"/>
      <c r="V337" s="975"/>
      <c r="W337" s="975"/>
      <c r="X337" s="975"/>
      <c r="Y337" s="975"/>
      <c r="Z337" s="975"/>
      <c r="AA337" s="975"/>
      <c r="AB337" s="975"/>
      <c r="AC337" s="975"/>
      <c r="AD337" s="975"/>
      <c r="AE337" s="145">
        <f t="shared" si="59"/>
        <v>0</v>
      </c>
      <c r="AF337" s="315" t="s">
        <v>644</v>
      </c>
      <c r="AG337" s="136"/>
    </row>
    <row r="338" spans="1:33" ht="18.75" customHeight="1" x14ac:dyDescent="0.3">
      <c r="A338" s="342">
        <v>45449</v>
      </c>
      <c r="B338" s="975"/>
      <c r="C338" s="975"/>
      <c r="D338" s="975"/>
      <c r="E338" s="975"/>
      <c r="F338" s="975"/>
      <c r="G338" s="975"/>
      <c r="H338" s="975"/>
      <c r="I338" s="975"/>
      <c r="J338" s="975"/>
      <c r="K338" s="975"/>
      <c r="L338" s="975"/>
      <c r="M338" s="976"/>
      <c r="N338" s="975"/>
      <c r="O338" s="975"/>
      <c r="P338" s="975"/>
      <c r="Q338" s="975"/>
      <c r="R338" s="975"/>
      <c r="S338" s="975"/>
      <c r="T338" s="975"/>
      <c r="U338" s="975"/>
      <c r="V338" s="975"/>
      <c r="W338" s="975"/>
      <c r="X338" s="975"/>
      <c r="Y338" s="975"/>
      <c r="Z338" s="975"/>
      <c r="AA338" s="975"/>
      <c r="AB338" s="975"/>
      <c r="AC338" s="975"/>
      <c r="AD338" s="975"/>
      <c r="AE338" s="145">
        <f t="shared" si="59"/>
        <v>0</v>
      </c>
      <c r="AF338" s="315" t="s">
        <v>645</v>
      </c>
      <c r="AG338" s="136"/>
    </row>
    <row r="339" spans="1:33" ht="18.75" customHeight="1" x14ac:dyDescent="0.3">
      <c r="A339" s="342">
        <v>45449</v>
      </c>
      <c r="B339" s="975"/>
      <c r="C339" s="975"/>
      <c r="D339" s="975"/>
      <c r="E339" s="975"/>
      <c r="F339" s="975"/>
      <c r="G339" s="975"/>
      <c r="H339" s="975"/>
      <c r="I339" s="975"/>
      <c r="J339" s="975"/>
      <c r="K339" s="975"/>
      <c r="L339" s="975"/>
      <c r="M339" s="976"/>
      <c r="N339" s="975"/>
      <c r="O339" s="975"/>
      <c r="P339" s="975"/>
      <c r="Q339" s="975"/>
      <c r="R339" s="975"/>
      <c r="S339" s="975"/>
      <c r="T339" s="975"/>
      <c r="U339" s="975"/>
      <c r="V339" s="975"/>
      <c r="W339" s="975"/>
      <c r="X339" s="975"/>
      <c r="Y339" s="975"/>
      <c r="Z339" s="975"/>
      <c r="AA339" s="975"/>
      <c r="AB339" s="975"/>
      <c r="AC339" s="975"/>
      <c r="AD339" s="975"/>
      <c r="AE339" s="145">
        <f t="shared" si="59"/>
        <v>0</v>
      </c>
      <c r="AF339" s="315" t="s">
        <v>646</v>
      </c>
      <c r="AG339" s="136"/>
    </row>
    <row r="340" spans="1:33" ht="18.75" customHeight="1" x14ac:dyDescent="0.3">
      <c r="A340" s="342">
        <v>45449</v>
      </c>
      <c r="B340" s="975"/>
      <c r="C340" s="975"/>
      <c r="D340" s="975"/>
      <c r="E340" s="975"/>
      <c r="F340" s="975"/>
      <c r="G340" s="975"/>
      <c r="H340" s="975"/>
      <c r="I340" s="975"/>
      <c r="J340" s="976"/>
      <c r="K340" s="975"/>
      <c r="L340" s="975"/>
      <c r="M340" s="975"/>
      <c r="N340" s="975"/>
      <c r="O340" s="975"/>
      <c r="P340" s="975"/>
      <c r="Q340" s="975"/>
      <c r="R340" s="975"/>
      <c r="S340" s="975"/>
      <c r="T340" s="975"/>
      <c r="U340" s="975"/>
      <c r="V340" s="975"/>
      <c r="W340" s="975"/>
      <c r="X340" s="975"/>
      <c r="Y340" s="975"/>
      <c r="Z340" s="975"/>
      <c r="AA340" s="975"/>
      <c r="AB340" s="975"/>
      <c r="AC340" s="975"/>
      <c r="AD340" s="975"/>
      <c r="AE340" s="145">
        <f t="shared" si="59"/>
        <v>0</v>
      </c>
      <c r="AF340" s="343" t="s">
        <v>647</v>
      </c>
      <c r="AG340" s="138"/>
    </row>
    <row r="341" spans="1:33" ht="18.75" customHeight="1" x14ac:dyDescent="0.3">
      <c r="A341" s="342">
        <v>45449</v>
      </c>
      <c r="B341" s="975"/>
      <c r="C341" s="975"/>
      <c r="D341" s="975"/>
      <c r="E341" s="975"/>
      <c r="F341" s="975"/>
      <c r="G341" s="975"/>
      <c r="H341" s="975"/>
      <c r="I341" s="975"/>
      <c r="J341" s="975"/>
      <c r="K341" s="975"/>
      <c r="L341" s="975"/>
      <c r="M341" s="976"/>
      <c r="N341" s="975"/>
      <c r="O341" s="975"/>
      <c r="P341" s="975"/>
      <c r="Q341" s="975"/>
      <c r="R341" s="975"/>
      <c r="S341" s="975"/>
      <c r="T341" s="975"/>
      <c r="U341" s="975"/>
      <c r="V341" s="975"/>
      <c r="W341" s="975"/>
      <c r="X341" s="975"/>
      <c r="Y341" s="975"/>
      <c r="Z341" s="975"/>
      <c r="AA341" s="975"/>
      <c r="AB341" s="975"/>
      <c r="AC341" s="975"/>
      <c r="AD341" s="975"/>
      <c r="AE341" s="145">
        <f t="shared" si="59"/>
        <v>0</v>
      </c>
      <c r="AF341" s="343" t="s">
        <v>648</v>
      </c>
      <c r="AG341" s="138"/>
    </row>
    <row r="342" spans="1:33" ht="18.75" customHeight="1" x14ac:dyDescent="0.3">
      <c r="A342" s="342">
        <v>45450</v>
      </c>
      <c r="B342" s="975"/>
      <c r="C342" s="975"/>
      <c r="D342" s="975"/>
      <c r="E342" s="975"/>
      <c r="F342" s="975"/>
      <c r="G342" s="975"/>
      <c r="H342" s="975"/>
      <c r="I342" s="976"/>
      <c r="J342" s="975"/>
      <c r="K342" s="975"/>
      <c r="L342" s="975"/>
      <c r="M342" s="975"/>
      <c r="N342" s="975"/>
      <c r="O342" s="975"/>
      <c r="P342" s="975"/>
      <c r="Q342" s="975"/>
      <c r="R342" s="975"/>
      <c r="S342" s="975"/>
      <c r="T342" s="975"/>
      <c r="U342" s="975"/>
      <c r="V342" s="975"/>
      <c r="W342" s="975"/>
      <c r="X342" s="975"/>
      <c r="Y342" s="975"/>
      <c r="Z342" s="975"/>
      <c r="AA342" s="975"/>
      <c r="AB342" s="975"/>
      <c r="AC342" s="975"/>
      <c r="AD342" s="975"/>
      <c r="AE342" s="145">
        <f t="shared" si="59"/>
        <v>0</v>
      </c>
      <c r="AF342" s="315" t="s">
        <v>649</v>
      </c>
      <c r="AG342" s="136"/>
    </row>
    <row r="343" spans="1:33" ht="18.75" customHeight="1" x14ac:dyDescent="0.3">
      <c r="A343" s="342">
        <v>45455</v>
      </c>
      <c r="B343" s="975"/>
      <c r="C343" s="975"/>
      <c r="D343" s="975"/>
      <c r="E343" s="975"/>
      <c r="F343" s="975"/>
      <c r="G343" s="975"/>
      <c r="H343" s="975"/>
      <c r="I343" s="975"/>
      <c r="J343" s="975"/>
      <c r="K343" s="975"/>
      <c r="L343" s="975"/>
      <c r="M343" s="976"/>
      <c r="N343" s="975"/>
      <c r="O343" s="975"/>
      <c r="P343" s="975"/>
      <c r="Q343" s="975"/>
      <c r="R343" s="975"/>
      <c r="S343" s="975"/>
      <c r="T343" s="975"/>
      <c r="U343" s="975"/>
      <c r="V343" s="975"/>
      <c r="W343" s="975"/>
      <c r="X343" s="975"/>
      <c r="Y343" s="975"/>
      <c r="Z343" s="975"/>
      <c r="AA343" s="975"/>
      <c r="AB343" s="975"/>
      <c r="AC343" s="975"/>
      <c r="AD343" s="975"/>
      <c r="AE343" s="145">
        <f t="shared" si="59"/>
        <v>0</v>
      </c>
      <c r="AF343" s="315" t="s">
        <v>650</v>
      </c>
      <c r="AG343" s="136"/>
    </row>
    <row r="344" spans="1:33" ht="18.75" customHeight="1" x14ac:dyDescent="0.3">
      <c r="A344" s="342" t="s">
        <v>320</v>
      </c>
      <c r="B344" s="975"/>
      <c r="C344" s="975"/>
      <c r="D344" s="975"/>
      <c r="E344" s="975"/>
      <c r="F344" s="975"/>
      <c r="G344" s="975"/>
      <c r="H344" s="975"/>
      <c r="I344" s="976"/>
      <c r="J344" s="975"/>
      <c r="K344" s="975"/>
      <c r="L344" s="975"/>
      <c r="M344" s="975"/>
      <c r="N344" s="975"/>
      <c r="O344" s="975"/>
      <c r="P344" s="975"/>
      <c r="Q344" s="975"/>
      <c r="R344" s="975"/>
      <c r="S344" s="975"/>
      <c r="T344" s="975"/>
      <c r="U344" s="975"/>
      <c r="V344" s="975"/>
      <c r="W344" s="975"/>
      <c r="X344" s="975"/>
      <c r="Y344" s="975"/>
      <c r="Z344" s="975"/>
      <c r="AA344" s="975"/>
      <c r="AB344" s="975"/>
      <c r="AC344" s="975"/>
      <c r="AD344" s="975"/>
      <c r="AE344" s="145">
        <f t="shared" si="59"/>
        <v>0</v>
      </c>
      <c r="AF344" s="315" t="s">
        <v>651</v>
      </c>
      <c r="AG344" s="136"/>
    </row>
    <row r="345" spans="1:33" ht="18.75" customHeight="1" x14ac:dyDescent="0.3">
      <c r="A345" s="342" t="s">
        <v>320</v>
      </c>
      <c r="B345" s="975"/>
      <c r="C345" s="975"/>
      <c r="D345" s="975"/>
      <c r="E345" s="975"/>
      <c r="F345" s="975"/>
      <c r="G345" s="975"/>
      <c r="H345" s="975"/>
      <c r="I345" s="976"/>
      <c r="J345" s="975"/>
      <c r="K345" s="975"/>
      <c r="L345" s="975"/>
      <c r="M345" s="975"/>
      <c r="N345" s="975"/>
      <c r="O345" s="975"/>
      <c r="P345" s="975"/>
      <c r="Q345" s="975"/>
      <c r="R345" s="975"/>
      <c r="S345" s="975"/>
      <c r="T345" s="975"/>
      <c r="U345" s="975"/>
      <c r="V345" s="975"/>
      <c r="W345" s="975"/>
      <c r="X345" s="975"/>
      <c r="Y345" s="975"/>
      <c r="Z345" s="975"/>
      <c r="AA345" s="975"/>
      <c r="AB345" s="975"/>
      <c r="AC345" s="975"/>
      <c r="AD345" s="975"/>
      <c r="AE345" s="145">
        <f t="shared" si="59"/>
        <v>0</v>
      </c>
      <c r="AF345" s="315" t="s">
        <v>652</v>
      </c>
      <c r="AG345" s="136"/>
    </row>
    <row r="346" spans="1:33" ht="18.75" customHeight="1" x14ac:dyDescent="0.3">
      <c r="A346" s="342" t="s">
        <v>320</v>
      </c>
      <c r="B346" s="975"/>
      <c r="C346" s="975"/>
      <c r="D346" s="975"/>
      <c r="E346" s="975"/>
      <c r="F346" s="975"/>
      <c r="G346" s="975"/>
      <c r="H346" s="975"/>
      <c r="I346" s="975"/>
      <c r="J346" s="975"/>
      <c r="K346" s="975"/>
      <c r="L346" s="975"/>
      <c r="M346" s="976"/>
      <c r="N346" s="975"/>
      <c r="O346" s="975"/>
      <c r="P346" s="975"/>
      <c r="Q346" s="975"/>
      <c r="R346" s="975"/>
      <c r="S346" s="975"/>
      <c r="T346" s="975"/>
      <c r="U346" s="975"/>
      <c r="V346" s="975"/>
      <c r="W346" s="975"/>
      <c r="X346" s="975"/>
      <c r="Y346" s="975"/>
      <c r="Z346" s="975"/>
      <c r="AA346" s="975"/>
      <c r="AB346" s="975"/>
      <c r="AC346" s="975"/>
      <c r="AD346" s="975"/>
      <c r="AE346" s="145">
        <f t="shared" si="59"/>
        <v>0</v>
      </c>
      <c r="AF346" s="315" t="s">
        <v>653</v>
      </c>
      <c r="AG346" s="136"/>
    </row>
    <row r="347" spans="1:33" ht="18.75" customHeight="1" x14ac:dyDescent="0.3">
      <c r="A347" s="342" t="s">
        <v>320</v>
      </c>
      <c r="B347" s="975"/>
      <c r="C347" s="975"/>
      <c r="D347" s="975"/>
      <c r="E347" s="975"/>
      <c r="F347" s="975"/>
      <c r="G347" s="975"/>
      <c r="H347" s="975"/>
      <c r="I347" s="976"/>
      <c r="J347" s="975"/>
      <c r="K347" s="975"/>
      <c r="L347" s="975"/>
      <c r="M347" s="975"/>
      <c r="N347" s="975"/>
      <c r="O347" s="975"/>
      <c r="P347" s="975"/>
      <c r="Q347" s="975"/>
      <c r="R347" s="975"/>
      <c r="S347" s="975"/>
      <c r="T347" s="975"/>
      <c r="U347" s="975"/>
      <c r="V347" s="975"/>
      <c r="W347" s="975"/>
      <c r="X347" s="975"/>
      <c r="Y347" s="975"/>
      <c r="Z347" s="975"/>
      <c r="AA347" s="975"/>
      <c r="AB347" s="975"/>
      <c r="AC347" s="975"/>
      <c r="AD347" s="975"/>
      <c r="AE347" s="145">
        <f t="shared" si="59"/>
        <v>0</v>
      </c>
      <c r="AF347" s="315" t="s">
        <v>654</v>
      </c>
      <c r="AG347" s="136"/>
    </row>
    <row r="348" spans="1:33" ht="18.75" customHeight="1" x14ac:dyDescent="0.3">
      <c r="A348" s="342" t="s">
        <v>320</v>
      </c>
      <c r="B348" s="975"/>
      <c r="C348" s="975"/>
      <c r="D348" s="975"/>
      <c r="E348" s="975"/>
      <c r="F348" s="975"/>
      <c r="G348" s="975"/>
      <c r="H348" s="975"/>
      <c r="I348" s="975"/>
      <c r="J348" s="975"/>
      <c r="K348" s="975"/>
      <c r="L348" s="976"/>
      <c r="M348" s="975"/>
      <c r="N348" s="975"/>
      <c r="O348" s="975"/>
      <c r="P348" s="975"/>
      <c r="Q348" s="975"/>
      <c r="R348" s="975"/>
      <c r="S348" s="975"/>
      <c r="T348" s="975"/>
      <c r="U348" s="975"/>
      <c r="V348" s="975"/>
      <c r="W348" s="975"/>
      <c r="X348" s="975"/>
      <c r="Y348" s="975"/>
      <c r="Z348" s="975"/>
      <c r="AA348" s="975"/>
      <c r="AB348" s="975"/>
      <c r="AC348" s="975"/>
      <c r="AD348" s="975"/>
      <c r="AE348" s="145">
        <f t="shared" si="59"/>
        <v>0</v>
      </c>
      <c r="AF348" s="315" t="s">
        <v>655</v>
      </c>
      <c r="AG348" s="136"/>
    </row>
    <row r="349" spans="1:33" ht="18.75" customHeight="1" x14ac:dyDescent="0.3">
      <c r="A349" s="342" t="s">
        <v>320</v>
      </c>
      <c r="B349" s="976"/>
      <c r="C349" s="975"/>
      <c r="D349" s="975"/>
      <c r="E349" s="975"/>
      <c r="F349" s="975"/>
      <c r="G349" s="975"/>
      <c r="H349" s="975"/>
      <c r="I349" s="975"/>
      <c r="J349" s="975"/>
      <c r="K349" s="975"/>
      <c r="L349" s="975"/>
      <c r="M349" s="975"/>
      <c r="N349" s="975"/>
      <c r="O349" s="975"/>
      <c r="P349" s="975"/>
      <c r="Q349" s="975"/>
      <c r="R349" s="975"/>
      <c r="S349" s="975"/>
      <c r="T349" s="975"/>
      <c r="U349" s="975"/>
      <c r="V349" s="975"/>
      <c r="W349" s="975"/>
      <c r="X349" s="975"/>
      <c r="Y349" s="975"/>
      <c r="Z349" s="975"/>
      <c r="AA349" s="975"/>
      <c r="AB349" s="975"/>
      <c r="AC349" s="975"/>
      <c r="AD349" s="975"/>
      <c r="AE349" s="145">
        <f t="shared" si="59"/>
        <v>0</v>
      </c>
      <c r="AF349" s="315" t="s">
        <v>656</v>
      </c>
      <c r="AG349" s="136"/>
    </row>
    <row r="350" spans="1:33" ht="18.75" customHeight="1" x14ac:dyDescent="0.3">
      <c r="A350" s="342" t="s">
        <v>320</v>
      </c>
      <c r="B350" s="975"/>
      <c r="C350" s="975"/>
      <c r="D350" s="975"/>
      <c r="E350" s="975"/>
      <c r="F350" s="975"/>
      <c r="G350" s="975"/>
      <c r="H350" s="975"/>
      <c r="I350" s="975"/>
      <c r="J350" s="975"/>
      <c r="K350" s="975"/>
      <c r="L350" s="975"/>
      <c r="M350" s="975"/>
      <c r="N350" s="975"/>
      <c r="O350" s="975"/>
      <c r="P350" s="975"/>
      <c r="Q350" s="975"/>
      <c r="R350" s="975"/>
      <c r="S350" s="975"/>
      <c r="T350" s="975"/>
      <c r="U350" s="975"/>
      <c r="V350" s="975"/>
      <c r="W350" s="975"/>
      <c r="X350" s="975"/>
      <c r="Y350" s="975"/>
      <c r="Z350" s="975"/>
      <c r="AA350" s="975"/>
      <c r="AB350" s="975"/>
      <c r="AC350" s="976"/>
      <c r="AD350" s="975"/>
      <c r="AE350" s="145">
        <f t="shared" si="59"/>
        <v>0</v>
      </c>
      <c r="AF350" s="315" t="s">
        <v>657</v>
      </c>
      <c r="AG350" s="136"/>
    </row>
    <row r="351" spans="1:33" ht="18.75" customHeight="1" x14ac:dyDescent="0.3">
      <c r="A351" s="342" t="s">
        <v>320</v>
      </c>
      <c r="B351" s="975"/>
      <c r="C351" s="975"/>
      <c r="D351" s="975"/>
      <c r="E351" s="975"/>
      <c r="F351" s="975"/>
      <c r="G351" s="975"/>
      <c r="H351" s="975"/>
      <c r="I351" s="975"/>
      <c r="J351" s="975"/>
      <c r="K351" s="975"/>
      <c r="L351" s="975"/>
      <c r="M351" s="975"/>
      <c r="N351" s="975"/>
      <c r="O351" s="975"/>
      <c r="P351" s="975"/>
      <c r="Q351" s="975"/>
      <c r="R351" s="975"/>
      <c r="S351" s="975"/>
      <c r="T351" s="975"/>
      <c r="U351" s="975"/>
      <c r="V351" s="975"/>
      <c r="W351" s="975"/>
      <c r="X351" s="975"/>
      <c r="Y351" s="976"/>
      <c r="Z351" s="976"/>
      <c r="AA351" s="976"/>
      <c r="AB351" s="975"/>
      <c r="AC351" s="975"/>
      <c r="AD351" s="975"/>
      <c r="AE351" s="145">
        <f t="shared" si="59"/>
        <v>0</v>
      </c>
      <c r="AF351" s="315" t="s">
        <v>658</v>
      </c>
      <c r="AG351" s="136"/>
    </row>
    <row r="352" spans="1:33" ht="18.75" customHeight="1" x14ac:dyDescent="0.3">
      <c r="A352" s="342" t="s">
        <v>321</v>
      </c>
      <c r="B352" s="975"/>
      <c r="C352" s="975"/>
      <c r="D352" s="975"/>
      <c r="E352" s="975"/>
      <c r="F352" s="975"/>
      <c r="G352" s="975"/>
      <c r="H352" s="975"/>
      <c r="I352" s="975"/>
      <c r="J352" s="975"/>
      <c r="K352" s="975"/>
      <c r="L352" s="975"/>
      <c r="M352" s="975"/>
      <c r="N352" s="975"/>
      <c r="O352" s="975"/>
      <c r="P352" s="975"/>
      <c r="Q352" s="975"/>
      <c r="R352" s="975"/>
      <c r="S352" s="975"/>
      <c r="T352" s="975"/>
      <c r="U352" s="975"/>
      <c r="V352" s="976"/>
      <c r="W352" s="975"/>
      <c r="X352" s="975"/>
      <c r="Y352" s="975"/>
      <c r="Z352" s="975"/>
      <c r="AA352" s="975"/>
      <c r="AB352" s="975"/>
      <c r="AC352" s="975"/>
      <c r="AD352" s="975"/>
      <c r="AE352" s="145">
        <f t="shared" si="59"/>
        <v>0</v>
      </c>
      <c r="AF352" s="315" t="s">
        <v>659</v>
      </c>
      <c r="AG352" s="136"/>
    </row>
    <row r="353" spans="1:33" ht="18.75" customHeight="1" x14ac:dyDescent="0.3">
      <c r="A353" s="342" t="s">
        <v>321</v>
      </c>
      <c r="B353" s="975"/>
      <c r="C353" s="975"/>
      <c r="D353" s="975"/>
      <c r="E353" s="975"/>
      <c r="F353" s="975"/>
      <c r="G353" s="975"/>
      <c r="H353" s="975"/>
      <c r="I353" s="975"/>
      <c r="J353" s="975"/>
      <c r="K353" s="975"/>
      <c r="L353" s="975"/>
      <c r="M353" s="975"/>
      <c r="N353" s="975"/>
      <c r="O353" s="975"/>
      <c r="P353" s="975"/>
      <c r="Q353" s="976"/>
      <c r="R353" s="975"/>
      <c r="S353" s="975"/>
      <c r="T353" s="975"/>
      <c r="U353" s="975"/>
      <c r="V353" s="975"/>
      <c r="W353" s="975"/>
      <c r="X353" s="975"/>
      <c r="Y353" s="975"/>
      <c r="Z353" s="975"/>
      <c r="AA353" s="975"/>
      <c r="AB353" s="975"/>
      <c r="AC353" s="975"/>
      <c r="AD353" s="975"/>
      <c r="AE353" s="145">
        <f t="shared" si="59"/>
        <v>0</v>
      </c>
      <c r="AF353" s="315" t="s">
        <v>660</v>
      </c>
      <c r="AG353" s="136"/>
    </row>
    <row r="354" spans="1:33" ht="18.75" customHeight="1" x14ac:dyDescent="0.3">
      <c r="A354" s="342" t="s">
        <v>263</v>
      </c>
      <c r="B354" s="975"/>
      <c r="C354" s="975"/>
      <c r="D354" s="975"/>
      <c r="E354" s="975"/>
      <c r="F354" s="975"/>
      <c r="G354" s="975"/>
      <c r="H354" s="975"/>
      <c r="I354" s="976"/>
      <c r="J354" s="975"/>
      <c r="K354" s="975"/>
      <c r="L354" s="975"/>
      <c r="M354" s="975"/>
      <c r="N354" s="975"/>
      <c r="O354" s="975"/>
      <c r="P354" s="975"/>
      <c r="Q354" s="975"/>
      <c r="R354" s="975"/>
      <c r="S354" s="975"/>
      <c r="T354" s="975"/>
      <c r="U354" s="975"/>
      <c r="V354" s="975"/>
      <c r="W354" s="975"/>
      <c r="X354" s="975"/>
      <c r="Y354" s="975"/>
      <c r="Z354" s="975"/>
      <c r="AA354" s="975"/>
      <c r="AB354" s="975"/>
      <c r="AC354" s="975"/>
      <c r="AD354" s="975"/>
      <c r="AE354" s="145">
        <f t="shared" si="59"/>
        <v>0</v>
      </c>
      <c r="AF354" s="315" t="s">
        <v>661</v>
      </c>
      <c r="AG354" s="136"/>
    </row>
    <row r="355" spans="1:33" ht="18.75" customHeight="1" x14ac:dyDescent="0.3">
      <c r="A355" s="342" t="s">
        <v>263</v>
      </c>
      <c r="B355" s="975"/>
      <c r="C355" s="975"/>
      <c r="D355" s="975"/>
      <c r="E355" s="975"/>
      <c r="F355" s="975"/>
      <c r="G355" s="975"/>
      <c r="H355" s="975"/>
      <c r="I355" s="975"/>
      <c r="J355" s="975"/>
      <c r="K355" s="975"/>
      <c r="L355" s="975"/>
      <c r="M355" s="975"/>
      <c r="N355" s="975"/>
      <c r="O355" s="975"/>
      <c r="P355" s="975"/>
      <c r="Q355" s="975"/>
      <c r="R355" s="975"/>
      <c r="S355" s="975"/>
      <c r="T355" s="975"/>
      <c r="U355" s="975"/>
      <c r="V355" s="975"/>
      <c r="W355" s="975"/>
      <c r="X355" s="975"/>
      <c r="Y355" s="976"/>
      <c r="Z355" s="976"/>
      <c r="AA355" s="976"/>
      <c r="AB355" s="975"/>
      <c r="AC355" s="975"/>
      <c r="AD355" s="975"/>
      <c r="AE355" s="145">
        <f t="shared" si="59"/>
        <v>0</v>
      </c>
      <c r="AF355" s="315" t="s">
        <v>662</v>
      </c>
      <c r="AG355" s="136"/>
    </row>
    <row r="356" spans="1:33" ht="18.75" customHeight="1" x14ac:dyDescent="0.3">
      <c r="A356" s="342" t="s">
        <v>263</v>
      </c>
      <c r="B356" s="975"/>
      <c r="C356" s="975"/>
      <c r="D356" s="975"/>
      <c r="E356" s="975"/>
      <c r="F356" s="975"/>
      <c r="G356" s="975"/>
      <c r="H356" s="976"/>
      <c r="I356" s="975"/>
      <c r="J356" s="975"/>
      <c r="K356" s="975"/>
      <c r="L356" s="975"/>
      <c r="M356" s="975"/>
      <c r="N356" s="975"/>
      <c r="O356" s="975"/>
      <c r="P356" s="975"/>
      <c r="Q356" s="975"/>
      <c r="R356" s="975"/>
      <c r="S356" s="975"/>
      <c r="T356" s="975"/>
      <c r="U356" s="975"/>
      <c r="V356" s="975"/>
      <c r="W356" s="975"/>
      <c r="X356" s="975"/>
      <c r="Y356" s="975"/>
      <c r="Z356" s="975"/>
      <c r="AA356" s="975"/>
      <c r="AB356" s="975"/>
      <c r="AC356" s="975"/>
      <c r="AD356" s="975"/>
      <c r="AE356" s="145">
        <f t="shared" si="59"/>
        <v>0</v>
      </c>
      <c r="AF356" s="315" t="s">
        <v>663</v>
      </c>
      <c r="AG356" s="136"/>
    </row>
    <row r="357" spans="1:33" ht="18.75" customHeight="1" x14ac:dyDescent="0.3">
      <c r="A357" s="342">
        <v>45463</v>
      </c>
      <c r="B357" s="975"/>
      <c r="C357" s="975"/>
      <c r="D357" s="975"/>
      <c r="E357" s="975"/>
      <c r="F357" s="975"/>
      <c r="G357" s="975"/>
      <c r="H357" s="976"/>
      <c r="I357" s="975"/>
      <c r="J357" s="975"/>
      <c r="K357" s="975"/>
      <c r="L357" s="975"/>
      <c r="M357" s="975"/>
      <c r="N357" s="975"/>
      <c r="O357" s="975"/>
      <c r="P357" s="975"/>
      <c r="Q357" s="975"/>
      <c r="R357" s="975"/>
      <c r="S357" s="975"/>
      <c r="T357" s="975"/>
      <c r="U357" s="975"/>
      <c r="V357" s="975"/>
      <c r="W357" s="975"/>
      <c r="X357" s="975"/>
      <c r="Y357" s="975"/>
      <c r="Z357" s="975"/>
      <c r="AA357" s="975"/>
      <c r="AB357" s="975"/>
      <c r="AC357" s="975"/>
      <c r="AD357" s="975"/>
      <c r="AE357" s="145">
        <f t="shared" si="59"/>
        <v>0</v>
      </c>
      <c r="AF357" s="315" t="s">
        <v>664</v>
      </c>
      <c r="AG357" s="136"/>
    </row>
    <row r="358" spans="1:33" ht="18.75" customHeight="1" x14ac:dyDescent="0.3">
      <c r="A358" s="342">
        <v>45463</v>
      </c>
      <c r="B358" s="975"/>
      <c r="C358" s="975"/>
      <c r="D358" s="975"/>
      <c r="E358" s="975"/>
      <c r="F358" s="975"/>
      <c r="G358" s="975"/>
      <c r="H358" s="975"/>
      <c r="I358" s="976"/>
      <c r="J358" s="975"/>
      <c r="K358" s="975"/>
      <c r="L358" s="975"/>
      <c r="M358" s="975"/>
      <c r="N358" s="975"/>
      <c r="O358" s="975"/>
      <c r="P358" s="975"/>
      <c r="Q358" s="975"/>
      <c r="R358" s="975"/>
      <c r="S358" s="975"/>
      <c r="T358" s="975"/>
      <c r="U358" s="975"/>
      <c r="V358" s="975"/>
      <c r="W358" s="975"/>
      <c r="X358" s="975"/>
      <c r="Y358" s="975"/>
      <c r="Z358" s="975"/>
      <c r="AA358" s="975"/>
      <c r="AB358" s="975"/>
      <c r="AC358" s="975"/>
      <c r="AD358" s="975"/>
      <c r="AE358" s="145">
        <f t="shared" si="59"/>
        <v>0</v>
      </c>
      <c r="AF358" s="315" t="s">
        <v>665</v>
      </c>
      <c r="AG358" s="136"/>
    </row>
    <row r="359" spans="1:33" ht="18.75" customHeight="1" x14ac:dyDescent="0.3">
      <c r="A359" s="342">
        <v>45463</v>
      </c>
      <c r="B359" s="975"/>
      <c r="C359" s="975"/>
      <c r="D359" s="975"/>
      <c r="E359" s="975"/>
      <c r="F359" s="975"/>
      <c r="G359" s="975"/>
      <c r="H359" s="975"/>
      <c r="I359" s="976"/>
      <c r="J359" s="975"/>
      <c r="K359" s="975"/>
      <c r="L359" s="975"/>
      <c r="M359" s="975"/>
      <c r="N359" s="975"/>
      <c r="O359" s="975"/>
      <c r="P359" s="975"/>
      <c r="Q359" s="975"/>
      <c r="R359" s="975"/>
      <c r="S359" s="975"/>
      <c r="T359" s="975"/>
      <c r="U359" s="975"/>
      <c r="V359" s="975"/>
      <c r="W359" s="975"/>
      <c r="X359" s="975"/>
      <c r="Y359" s="975"/>
      <c r="Z359" s="975"/>
      <c r="AA359" s="975"/>
      <c r="AB359" s="975"/>
      <c r="AC359" s="975"/>
      <c r="AD359" s="975"/>
      <c r="AE359" s="145">
        <f t="shared" si="59"/>
        <v>0</v>
      </c>
      <c r="AF359" s="315" t="s">
        <v>666</v>
      </c>
      <c r="AG359" s="136"/>
    </row>
    <row r="360" spans="1:33" ht="18.75" customHeight="1" x14ac:dyDescent="0.3">
      <c r="A360" s="342">
        <v>45463</v>
      </c>
      <c r="B360" s="975"/>
      <c r="C360" s="975"/>
      <c r="D360" s="975"/>
      <c r="E360" s="975"/>
      <c r="F360" s="975"/>
      <c r="G360" s="975"/>
      <c r="H360" s="975"/>
      <c r="I360" s="975"/>
      <c r="J360" s="975"/>
      <c r="K360" s="975"/>
      <c r="L360" s="975"/>
      <c r="M360" s="975"/>
      <c r="N360" s="975"/>
      <c r="O360" s="975"/>
      <c r="P360" s="975"/>
      <c r="Q360" s="975"/>
      <c r="R360" s="975"/>
      <c r="S360" s="975"/>
      <c r="T360" s="975"/>
      <c r="U360" s="975"/>
      <c r="V360" s="975"/>
      <c r="W360" s="975"/>
      <c r="X360" s="975"/>
      <c r="Y360" s="976"/>
      <c r="Z360" s="976"/>
      <c r="AA360" s="976"/>
      <c r="AB360" s="975"/>
      <c r="AC360" s="975"/>
      <c r="AD360" s="975"/>
      <c r="AE360" s="145">
        <f t="shared" si="59"/>
        <v>0</v>
      </c>
      <c r="AF360" s="315" t="s">
        <v>667</v>
      </c>
      <c r="AG360" s="136"/>
    </row>
    <row r="361" spans="1:33" ht="18.75" customHeight="1" x14ac:dyDescent="0.3">
      <c r="A361" s="342">
        <v>45463</v>
      </c>
      <c r="B361" s="975"/>
      <c r="C361" s="975"/>
      <c r="D361" s="975"/>
      <c r="E361" s="975"/>
      <c r="F361" s="975"/>
      <c r="G361" s="975"/>
      <c r="H361" s="975"/>
      <c r="I361" s="975"/>
      <c r="J361" s="975"/>
      <c r="K361" s="975"/>
      <c r="L361" s="976"/>
      <c r="M361" s="975"/>
      <c r="N361" s="975"/>
      <c r="O361" s="975"/>
      <c r="P361" s="975"/>
      <c r="Q361" s="975"/>
      <c r="R361" s="975"/>
      <c r="S361" s="975"/>
      <c r="T361" s="975"/>
      <c r="U361" s="975"/>
      <c r="V361" s="975"/>
      <c r="W361" s="975"/>
      <c r="X361" s="975"/>
      <c r="Y361" s="975"/>
      <c r="Z361" s="975"/>
      <c r="AA361" s="975"/>
      <c r="AB361" s="975"/>
      <c r="AC361" s="975"/>
      <c r="AD361" s="975"/>
      <c r="AE361" s="145">
        <f t="shared" si="59"/>
        <v>0</v>
      </c>
      <c r="AF361" s="315" t="s">
        <v>668</v>
      </c>
      <c r="AG361" s="136"/>
    </row>
    <row r="362" spans="1:33" ht="18.75" customHeight="1" x14ac:dyDescent="0.3">
      <c r="A362" s="342">
        <v>45463</v>
      </c>
      <c r="B362" s="975"/>
      <c r="C362" s="975"/>
      <c r="D362" s="975"/>
      <c r="E362" s="975"/>
      <c r="F362" s="975"/>
      <c r="G362" s="975"/>
      <c r="H362" s="975"/>
      <c r="I362" s="975"/>
      <c r="J362" s="975"/>
      <c r="K362" s="975"/>
      <c r="L362" s="975"/>
      <c r="M362" s="975"/>
      <c r="N362" s="975"/>
      <c r="O362" s="975"/>
      <c r="P362" s="975"/>
      <c r="Q362" s="975"/>
      <c r="R362" s="975"/>
      <c r="S362" s="975"/>
      <c r="T362" s="976"/>
      <c r="U362" s="975"/>
      <c r="V362" s="975"/>
      <c r="W362" s="975"/>
      <c r="X362" s="975"/>
      <c r="Y362" s="975"/>
      <c r="Z362" s="975"/>
      <c r="AA362" s="975"/>
      <c r="AB362" s="975"/>
      <c r="AC362" s="975"/>
      <c r="AD362" s="975"/>
      <c r="AE362" s="145">
        <f t="shared" si="59"/>
        <v>0</v>
      </c>
      <c r="AF362" s="315" t="s">
        <v>669</v>
      </c>
      <c r="AG362" s="136"/>
    </row>
    <row r="363" spans="1:33" ht="18.75" customHeight="1" x14ac:dyDescent="0.3">
      <c r="A363" s="342">
        <v>45463</v>
      </c>
      <c r="B363" s="975"/>
      <c r="C363" s="975"/>
      <c r="D363" s="975"/>
      <c r="E363" s="975"/>
      <c r="F363" s="975"/>
      <c r="G363" s="975"/>
      <c r="H363" s="975"/>
      <c r="I363" s="975"/>
      <c r="J363" s="975"/>
      <c r="K363" s="975"/>
      <c r="L363" s="975"/>
      <c r="M363" s="975"/>
      <c r="N363" s="975"/>
      <c r="O363" s="975"/>
      <c r="P363" s="975"/>
      <c r="Q363" s="975"/>
      <c r="R363" s="975"/>
      <c r="S363" s="975"/>
      <c r="T363" s="975"/>
      <c r="U363" s="976"/>
      <c r="V363" s="975"/>
      <c r="W363" s="975"/>
      <c r="X363" s="975"/>
      <c r="Y363" s="975"/>
      <c r="Z363" s="975"/>
      <c r="AA363" s="975"/>
      <c r="AB363" s="975"/>
      <c r="AC363" s="975"/>
      <c r="AD363" s="975"/>
      <c r="AE363" s="145">
        <f t="shared" si="59"/>
        <v>0</v>
      </c>
      <c r="AF363" s="315" t="s">
        <v>670</v>
      </c>
      <c r="AG363" s="136"/>
    </row>
    <row r="364" spans="1:33" ht="18.75" customHeight="1" x14ac:dyDescent="0.3">
      <c r="A364" s="342">
        <v>45463</v>
      </c>
      <c r="B364" s="975"/>
      <c r="C364" s="975"/>
      <c r="D364" s="975"/>
      <c r="E364" s="975"/>
      <c r="F364" s="975"/>
      <c r="G364" s="975"/>
      <c r="H364" s="975"/>
      <c r="I364" s="976"/>
      <c r="J364" s="975"/>
      <c r="K364" s="975"/>
      <c r="L364" s="975"/>
      <c r="M364" s="975"/>
      <c r="N364" s="975"/>
      <c r="O364" s="975"/>
      <c r="P364" s="975"/>
      <c r="Q364" s="975"/>
      <c r="R364" s="975"/>
      <c r="S364" s="975"/>
      <c r="T364" s="975"/>
      <c r="U364" s="975"/>
      <c r="V364" s="975"/>
      <c r="W364" s="975"/>
      <c r="X364" s="975"/>
      <c r="Y364" s="975"/>
      <c r="Z364" s="975"/>
      <c r="AA364" s="975"/>
      <c r="AB364" s="975"/>
      <c r="AC364" s="975"/>
      <c r="AD364" s="975"/>
      <c r="AE364" s="145">
        <f t="shared" si="59"/>
        <v>0</v>
      </c>
      <c r="AF364" s="315" t="s">
        <v>671</v>
      </c>
      <c r="AG364" s="136"/>
    </row>
    <row r="365" spans="1:33" ht="18.75" customHeight="1" x14ac:dyDescent="0.3">
      <c r="A365" s="342">
        <v>45467</v>
      </c>
      <c r="B365" s="975"/>
      <c r="C365" s="975"/>
      <c r="D365" s="975"/>
      <c r="E365" s="975"/>
      <c r="F365" s="975"/>
      <c r="G365" s="975"/>
      <c r="H365" s="975"/>
      <c r="I365" s="976"/>
      <c r="J365" s="975"/>
      <c r="K365" s="975"/>
      <c r="L365" s="975"/>
      <c r="M365" s="975"/>
      <c r="N365" s="975"/>
      <c r="O365" s="975"/>
      <c r="P365" s="975"/>
      <c r="Q365" s="975"/>
      <c r="R365" s="975"/>
      <c r="S365" s="975"/>
      <c r="T365" s="975"/>
      <c r="U365" s="975"/>
      <c r="V365" s="975"/>
      <c r="W365" s="975"/>
      <c r="X365" s="975"/>
      <c r="Y365" s="975"/>
      <c r="Z365" s="975"/>
      <c r="AA365" s="975"/>
      <c r="AB365" s="975"/>
      <c r="AC365" s="975"/>
      <c r="AD365" s="975"/>
      <c r="AE365" s="145">
        <f t="shared" si="59"/>
        <v>0</v>
      </c>
      <c r="AF365" s="315" t="s">
        <v>672</v>
      </c>
      <c r="AG365" s="136"/>
    </row>
    <row r="366" spans="1:33" ht="18.75" customHeight="1" x14ac:dyDescent="0.3">
      <c r="A366" s="342">
        <v>45467</v>
      </c>
      <c r="B366" s="975"/>
      <c r="C366" s="975"/>
      <c r="D366" s="975"/>
      <c r="E366" s="975"/>
      <c r="F366" s="975"/>
      <c r="G366" s="975"/>
      <c r="H366" s="975"/>
      <c r="I366" s="975"/>
      <c r="J366" s="975"/>
      <c r="K366" s="975"/>
      <c r="L366" s="976"/>
      <c r="M366" s="975"/>
      <c r="N366" s="975"/>
      <c r="O366" s="975"/>
      <c r="P366" s="975"/>
      <c r="Q366" s="975"/>
      <c r="R366" s="975"/>
      <c r="S366" s="975"/>
      <c r="T366" s="975"/>
      <c r="U366" s="975"/>
      <c r="V366" s="975"/>
      <c r="W366" s="975"/>
      <c r="X366" s="975"/>
      <c r="Y366" s="975"/>
      <c r="Z366" s="975"/>
      <c r="AA366" s="975"/>
      <c r="AB366" s="975"/>
      <c r="AC366" s="975"/>
      <c r="AD366" s="975"/>
      <c r="AE366" s="145">
        <f t="shared" si="59"/>
        <v>0</v>
      </c>
      <c r="AF366" s="315" t="s">
        <v>673</v>
      </c>
      <c r="AG366" s="136"/>
    </row>
    <row r="367" spans="1:33" ht="18.75" customHeight="1" x14ac:dyDescent="0.3">
      <c r="A367" s="342">
        <v>45467</v>
      </c>
      <c r="B367" s="975"/>
      <c r="C367" s="975"/>
      <c r="D367" s="975"/>
      <c r="E367" s="975"/>
      <c r="F367" s="975"/>
      <c r="G367" s="975"/>
      <c r="H367" s="975"/>
      <c r="I367" s="975"/>
      <c r="J367" s="975"/>
      <c r="K367" s="975"/>
      <c r="L367" s="975"/>
      <c r="M367" s="976"/>
      <c r="N367" s="975"/>
      <c r="O367" s="975"/>
      <c r="P367" s="975"/>
      <c r="Q367" s="975"/>
      <c r="R367" s="975"/>
      <c r="S367" s="975"/>
      <c r="T367" s="975"/>
      <c r="U367" s="975"/>
      <c r="V367" s="975"/>
      <c r="W367" s="975"/>
      <c r="X367" s="975"/>
      <c r="Y367" s="975"/>
      <c r="Z367" s="975"/>
      <c r="AA367" s="975"/>
      <c r="AB367" s="975"/>
      <c r="AC367" s="975"/>
      <c r="AD367" s="975"/>
      <c r="AE367" s="145">
        <f t="shared" si="59"/>
        <v>0</v>
      </c>
      <c r="AF367" s="315" t="s">
        <v>674</v>
      </c>
      <c r="AG367" s="136"/>
    </row>
    <row r="368" spans="1:33" ht="18.75" customHeight="1" x14ac:dyDescent="0.3">
      <c r="A368" s="342">
        <v>45467</v>
      </c>
      <c r="B368" s="975"/>
      <c r="C368" s="975"/>
      <c r="D368" s="975"/>
      <c r="E368" s="975"/>
      <c r="F368" s="975"/>
      <c r="G368" s="975"/>
      <c r="H368" s="976"/>
      <c r="I368" s="975"/>
      <c r="J368" s="975"/>
      <c r="K368" s="975"/>
      <c r="L368" s="975"/>
      <c r="M368" s="975"/>
      <c r="N368" s="975"/>
      <c r="O368" s="975"/>
      <c r="P368" s="975"/>
      <c r="Q368" s="975"/>
      <c r="R368" s="975"/>
      <c r="S368" s="975"/>
      <c r="T368" s="975"/>
      <c r="U368" s="975"/>
      <c r="V368" s="975"/>
      <c r="W368" s="975"/>
      <c r="X368" s="975"/>
      <c r="Y368" s="975"/>
      <c r="Z368" s="975"/>
      <c r="AA368" s="975"/>
      <c r="AB368" s="975"/>
      <c r="AC368" s="975"/>
      <c r="AD368" s="975"/>
      <c r="AE368" s="145">
        <f t="shared" si="59"/>
        <v>0</v>
      </c>
      <c r="AF368" s="315" t="s">
        <v>675</v>
      </c>
      <c r="AG368" s="136"/>
    </row>
    <row r="369" spans="1:35" ht="18.75" customHeight="1" x14ac:dyDescent="0.3">
      <c r="A369" s="342">
        <v>45468</v>
      </c>
      <c r="B369" s="975"/>
      <c r="C369" s="975"/>
      <c r="D369" s="975"/>
      <c r="E369" s="975"/>
      <c r="F369" s="975"/>
      <c r="G369" s="975"/>
      <c r="H369" s="975"/>
      <c r="I369" s="976"/>
      <c r="J369" s="975"/>
      <c r="K369" s="975"/>
      <c r="L369" s="975"/>
      <c r="M369" s="975"/>
      <c r="N369" s="975"/>
      <c r="O369" s="975"/>
      <c r="P369" s="975"/>
      <c r="Q369" s="975"/>
      <c r="R369" s="975"/>
      <c r="S369" s="975"/>
      <c r="T369" s="975"/>
      <c r="U369" s="975"/>
      <c r="V369" s="975"/>
      <c r="W369" s="975"/>
      <c r="X369" s="975"/>
      <c r="Y369" s="975"/>
      <c r="Z369" s="975"/>
      <c r="AA369" s="975"/>
      <c r="AB369" s="975"/>
      <c r="AC369" s="975"/>
      <c r="AD369" s="975"/>
      <c r="AE369" s="145">
        <f t="shared" si="59"/>
        <v>0</v>
      </c>
      <c r="AF369" s="315" t="s">
        <v>676</v>
      </c>
      <c r="AG369" s="136"/>
    </row>
    <row r="370" spans="1:35" ht="18.75" customHeight="1" x14ac:dyDescent="0.3">
      <c r="A370" s="342" t="s">
        <v>677</v>
      </c>
      <c r="B370" s="975"/>
      <c r="C370" s="975"/>
      <c r="D370" s="975"/>
      <c r="E370" s="975"/>
      <c r="F370" s="975"/>
      <c r="G370" s="975"/>
      <c r="H370" s="975"/>
      <c r="I370" s="975"/>
      <c r="J370" s="975"/>
      <c r="K370" s="975"/>
      <c r="L370" s="975"/>
      <c r="M370" s="976"/>
      <c r="N370" s="975"/>
      <c r="O370" s="975"/>
      <c r="P370" s="975"/>
      <c r="Q370" s="975"/>
      <c r="R370" s="975"/>
      <c r="S370" s="975"/>
      <c r="T370" s="975"/>
      <c r="U370" s="975"/>
      <c r="V370" s="975"/>
      <c r="W370" s="975"/>
      <c r="X370" s="975"/>
      <c r="Y370" s="975"/>
      <c r="Z370" s="975"/>
      <c r="AA370" s="975"/>
      <c r="AB370" s="975"/>
      <c r="AC370" s="975"/>
      <c r="AD370" s="975"/>
      <c r="AE370" s="145">
        <f t="shared" si="59"/>
        <v>0</v>
      </c>
      <c r="AF370" s="315" t="s">
        <v>678</v>
      </c>
      <c r="AG370" s="136"/>
    </row>
    <row r="371" spans="1:35" ht="18.75" customHeight="1" x14ac:dyDescent="0.3">
      <c r="A371" s="342">
        <v>45468</v>
      </c>
      <c r="B371" s="975"/>
      <c r="C371" s="975"/>
      <c r="D371" s="975"/>
      <c r="E371" s="975"/>
      <c r="F371" s="975"/>
      <c r="G371" s="975"/>
      <c r="H371" s="975"/>
      <c r="I371" s="976"/>
      <c r="J371" s="975"/>
      <c r="K371" s="975"/>
      <c r="L371" s="975"/>
      <c r="M371" s="975"/>
      <c r="N371" s="975"/>
      <c r="O371" s="975"/>
      <c r="P371" s="975"/>
      <c r="Q371" s="975"/>
      <c r="R371" s="975"/>
      <c r="S371" s="975"/>
      <c r="T371" s="975"/>
      <c r="U371" s="975"/>
      <c r="V371" s="975"/>
      <c r="W371" s="975"/>
      <c r="X371" s="975"/>
      <c r="Y371" s="975"/>
      <c r="Z371" s="975"/>
      <c r="AA371" s="975"/>
      <c r="AB371" s="975"/>
      <c r="AC371" s="975"/>
      <c r="AD371" s="975"/>
      <c r="AE371" s="145">
        <f t="shared" si="59"/>
        <v>0</v>
      </c>
      <c r="AF371" s="315" t="s">
        <v>679</v>
      </c>
      <c r="AG371" s="136"/>
    </row>
    <row r="372" spans="1:35" ht="18.75" customHeight="1" x14ac:dyDescent="0.3">
      <c r="A372" s="342" t="s">
        <v>680</v>
      </c>
      <c r="B372" s="975"/>
      <c r="C372" s="975"/>
      <c r="D372" s="975"/>
      <c r="E372" s="975"/>
      <c r="F372" s="975"/>
      <c r="G372" s="975"/>
      <c r="H372" s="975"/>
      <c r="I372" s="976"/>
      <c r="J372" s="975"/>
      <c r="K372" s="975"/>
      <c r="L372" s="975"/>
      <c r="M372" s="975"/>
      <c r="N372" s="975"/>
      <c r="O372" s="975"/>
      <c r="P372" s="975"/>
      <c r="Q372" s="975"/>
      <c r="R372" s="975"/>
      <c r="S372" s="975"/>
      <c r="T372" s="975"/>
      <c r="U372" s="975"/>
      <c r="V372" s="975"/>
      <c r="W372" s="975"/>
      <c r="X372" s="975"/>
      <c r="Y372" s="975"/>
      <c r="Z372" s="975"/>
      <c r="AA372" s="975"/>
      <c r="AB372" s="975"/>
      <c r="AC372" s="975"/>
      <c r="AD372" s="975"/>
      <c r="AE372" s="145">
        <f t="shared" si="59"/>
        <v>0</v>
      </c>
      <c r="AF372" s="315" t="s">
        <v>679</v>
      </c>
      <c r="AG372" s="136"/>
    </row>
    <row r="373" spans="1:35" ht="18" customHeight="1" x14ac:dyDescent="0.3">
      <c r="A373" s="342">
        <v>45469</v>
      </c>
      <c r="B373" s="975"/>
      <c r="C373" s="975"/>
      <c r="D373" s="975"/>
      <c r="E373" s="975"/>
      <c r="F373" s="975"/>
      <c r="G373" s="975"/>
      <c r="H373" s="975"/>
      <c r="I373" s="975"/>
      <c r="J373" s="975"/>
      <c r="K373" s="975"/>
      <c r="L373" s="975"/>
      <c r="M373" s="976"/>
      <c r="N373" s="975"/>
      <c r="O373" s="975"/>
      <c r="P373" s="975"/>
      <c r="Q373" s="975"/>
      <c r="R373" s="975"/>
      <c r="S373" s="975"/>
      <c r="T373" s="975"/>
      <c r="U373" s="975"/>
      <c r="V373" s="975"/>
      <c r="W373" s="975"/>
      <c r="X373" s="975"/>
      <c r="Y373" s="975"/>
      <c r="Z373" s="975"/>
      <c r="AA373" s="975"/>
      <c r="AB373" s="975"/>
      <c r="AC373" s="975"/>
      <c r="AD373" s="975"/>
      <c r="AE373" s="145">
        <f t="shared" si="59"/>
        <v>0</v>
      </c>
      <c r="AF373" s="315" t="s">
        <v>681</v>
      </c>
      <c r="AG373" s="136"/>
    </row>
    <row r="374" spans="1:35" ht="18.75" customHeight="1" x14ac:dyDescent="0.3">
      <c r="A374" s="342">
        <v>45469</v>
      </c>
      <c r="B374" s="976"/>
      <c r="C374" s="975"/>
      <c r="D374" s="975"/>
      <c r="E374" s="975"/>
      <c r="F374" s="975"/>
      <c r="G374" s="975"/>
      <c r="H374" s="975"/>
      <c r="I374" s="975"/>
      <c r="J374" s="975"/>
      <c r="K374" s="975"/>
      <c r="L374" s="975"/>
      <c r="M374" s="975"/>
      <c r="N374" s="975"/>
      <c r="O374" s="975"/>
      <c r="P374" s="975"/>
      <c r="Q374" s="975"/>
      <c r="R374" s="975"/>
      <c r="S374" s="975"/>
      <c r="T374" s="975"/>
      <c r="U374" s="975"/>
      <c r="V374" s="975"/>
      <c r="W374" s="975"/>
      <c r="X374" s="975"/>
      <c r="Y374" s="975"/>
      <c r="Z374" s="975"/>
      <c r="AA374" s="975"/>
      <c r="AB374" s="975"/>
      <c r="AC374" s="975"/>
      <c r="AD374" s="975"/>
      <c r="AE374" s="145">
        <f t="shared" si="59"/>
        <v>0</v>
      </c>
      <c r="AF374" s="315" t="s">
        <v>682</v>
      </c>
      <c r="AG374" s="136"/>
    </row>
    <row r="375" spans="1:35" ht="18.75" customHeight="1" x14ac:dyDescent="0.3">
      <c r="A375" s="281">
        <v>45571</v>
      </c>
      <c r="B375" s="975"/>
      <c r="C375" s="975"/>
      <c r="D375" s="975"/>
      <c r="E375" s="975"/>
      <c r="F375" s="975"/>
      <c r="G375" s="975"/>
      <c r="H375" s="975"/>
      <c r="I375" s="975"/>
      <c r="J375" s="975"/>
      <c r="K375" s="975"/>
      <c r="L375" s="975"/>
      <c r="M375" s="975"/>
      <c r="N375" s="975"/>
      <c r="O375" s="975"/>
      <c r="P375" s="975"/>
      <c r="Q375" s="975"/>
      <c r="R375" s="975"/>
      <c r="S375" s="975"/>
      <c r="T375" s="975"/>
      <c r="U375" s="975"/>
      <c r="V375" s="975"/>
      <c r="W375" s="975"/>
      <c r="X375" s="975"/>
      <c r="Y375" s="975"/>
      <c r="Z375" s="975"/>
      <c r="AA375" s="975"/>
      <c r="AB375" s="975"/>
      <c r="AC375" s="975"/>
      <c r="AD375" s="975"/>
      <c r="AE375" s="145">
        <f t="shared" si="59"/>
        <v>0</v>
      </c>
      <c r="AF375" s="292" t="s">
        <v>683</v>
      </c>
      <c r="AG375" s="136"/>
    </row>
    <row r="376" spans="1:35" ht="15" customHeight="1" x14ac:dyDescent="0.3">
      <c r="B376" s="977"/>
      <c r="C376" s="977"/>
      <c r="D376" s="977"/>
      <c r="E376" s="977"/>
      <c r="F376" s="977"/>
      <c r="G376" s="977"/>
      <c r="H376" s="977"/>
      <c r="I376" s="977"/>
      <c r="J376" s="977"/>
      <c r="K376" s="977"/>
      <c r="L376" s="977"/>
      <c r="M376" s="977"/>
      <c r="N376" s="977"/>
      <c r="O376" s="977"/>
      <c r="P376" s="977"/>
      <c r="Q376" s="977"/>
      <c r="R376" s="977"/>
      <c r="S376" s="977"/>
      <c r="T376" s="977"/>
      <c r="U376" s="977"/>
      <c r="V376" s="977"/>
      <c r="W376" s="977"/>
      <c r="X376" s="977"/>
      <c r="Y376" s="977"/>
      <c r="Z376" s="977"/>
      <c r="AA376" s="977"/>
      <c r="AB376" s="977"/>
      <c r="AC376" s="977"/>
      <c r="AD376" s="977"/>
    </row>
    <row r="377" spans="1:35" ht="15" customHeight="1" x14ac:dyDescent="0.3">
      <c r="B377" s="977"/>
      <c r="C377" s="977"/>
      <c r="D377" s="977"/>
      <c r="E377" s="977"/>
      <c r="F377" s="977"/>
      <c r="G377" s="977"/>
      <c r="H377" s="977"/>
      <c r="I377" s="977"/>
      <c r="J377" s="977"/>
      <c r="K377" s="977"/>
      <c r="L377" s="977"/>
      <c r="M377" s="977"/>
      <c r="N377" s="977"/>
      <c r="O377" s="977"/>
      <c r="P377" s="977"/>
      <c r="Q377" s="977"/>
      <c r="R377" s="977"/>
      <c r="S377" s="977"/>
      <c r="T377" s="977"/>
      <c r="U377" s="977"/>
      <c r="V377" s="977"/>
      <c r="W377" s="977"/>
      <c r="X377" s="977"/>
      <c r="Y377" s="977"/>
      <c r="Z377" s="977"/>
      <c r="AA377" s="977"/>
      <c r="AB377" s="977"/>
      <c r="AC377" s="977"/>
      <c r="AD377" s="977"/>
    </row>
    <row r="378" spans="1:35" ht="15" customHeight="1" x14ac:dyDescent="0.3">
      <c r="B378" s="977"/>
      <c r="C378" s="977"/>
      <c r="D378" s="977"/>
      <c r="E378" s="977"/>
      <c r="F378" s="977"/>
      <c r="G378" s="977"/>
      <c r="H378" s="977"/>
      <c r="I378" s="977"/>
      <c r="J378" s="977"/>
      <c r="K378" s="977"/>
      <c r="L378" s="977"/>
      <c r="M378" s="977"/>
      <c r="N378" s="977"/>
      <c r="O378" s="977"/>
      <c r="P378" s="977"/>
      <c r="Q378" s="977"/>
      <c r="R378" s="977"/>
      <c r="S378" s="977"/>
      <c r="T378" s="977"/>
      <c r="U378" s="977"/>
      <c r="V378" s="977"/>
      <c r="W378" s="977"/>
      <c r="X378" s="977"/>
      <c r="Y378" s="977"/>
      <c r="Z378" s="977"/>
      <c r="AA378" s="977"/>
      <c r="AB378" s="977"/>
      <c r="AC378" s="977"/>
      <c r="AD378" s="977"/>
    </row>
    <row r="379" spans="1:35" ht="15" customHeight="1" x14ac:dyDescent="0.3">
      <c r="B379" s="977"/>
      <c r="C379" s="977"/>
      <c r="D379" s="977"/>
      <c r="E379" s="977"/>
      <c r="F379" s="977"/>
      <c r="G379" s="977"/>
      <c r="H379" s="977"/>
      <c r="I379" s="977"/>
      <c r="J379" s="977"/>
      <c r="K379" s="977"/>
      <c r="L379" s="977"/>
      <c r="M379" s="977"/>
      <c r="N379" s="977"/>
      <c r="O379" s="977"/>
      <c r="P379" s="977"/>
      <c r="Q379" s="977"/>
      <c r="R379" s="977"/>
      <c r="S379" s="977"/>
      <c r="T379" s="977"/>
      <c r="U379" s="977"/>
      <c r="V379" s="977"/>
      <c r="W379" s="977"/>
      <c r="X379" s="977"/>
      <c r="Y379" s="977"/>
      <c r="Z379" s="977"/>
      <c r="AA379" s="977"/>
      <c r="AB379" s="977"/>
      <c r="AC379" s="977"/>
      <c r="AD379" s="977"/>
    </row>
    <row r="380" spans="1:35" ht="15" customHeight="1" x14ac:dyDescent="0.3">
      <c r="B380" s="977"/>
      <c r="C380" s="977"/>
      <c r="D380" s="977"/>
      <c r="E380" s="977"/>
      <c r="F380" s="977"/>
      <c r="G380" s="977"/>
      <c r="H380" s="977"/>
      <c r="I380" s="977"/>
      <c r="J380" s="977"/>
      <c r="K380" s="977"/>
      <c r="L380" s="977"/>
      <c r="M380" s="977"/>
      <c r="N380" s="977"/>
      <c r="O380" s="977"/>
      <c r="P380" s="977"/>
      <c r="Q380" s="977"/>
      <c r="R380" s="977"/>
      <c r="S380" s="977"/>
      <c r="T380" s="977"/>
      <c r="U380" s="977"/>
      <c r="V380" s="977"/>
      <c r="W380" s="977"/>
      <c r="X380" s="977"/>
      <c r="Y380" s="977"/>
      <c r="Z380" s="977"/>
      <c r="AA380" s="977"/>
      <c r="AB380" s="977"/>
      <c r="AC380" s="977"/>
      <c r="AD380" s="977"/>
    </row>
    <row r="381" spans="1:35" ht="15" customHeight="1" x14ac:dyDescent="0.3">
      <c r="B381" s="977"/>
      <c r="C381" s="977"/>
      <c r="D381" s="977"/>
      <c r="E381" s="977"/>
      <c r="F381" s="977"/>
      <c r="G381" s="977"/>
      <c r="H381" s="977"/>
      <c r="I381" s="977"/>
      <c r="J381" s="977"/>
      <c r="K381" s="977"/>
      <c r="L381" s="977"/>
      <c r="M381" s="977"/>
      <c r="N381" s="977"/>
      <c r="O381" s="977"/>
      <c r="P381" s="977"/>
      <c r="Q381" s="977"/>
      <c r="R381" s="977"/>
      <c r="S381" s="977"/>
      <c r="T381" s="977"/>
      <c r="U381" s="977"/>
      <c r="V381" s="977"/>
      <c r="W381" s="977"/>
      <c r="X381" s="977"/>
      <c r="Y381" s="977"/>
      <c r="Z381" s="977"/>
      <c r="AA381" s="977"/>
      <c r="AB381" s="977"/>
      <c r="AC381" s="977"/>
      <c r="AD381" s="977"/>
    </row>
    <row r="382" spans="1:35" ht="18.75" customHeight="1" x14ac:dyDescent="0.3">
      <c r="A382" s="287" t="s">
        <v>245</v>
      </c>
      <c r="B382" s="279">
        <f t="shared" ref="B382:AD382" si="60">SUM(B334:B381)</f>
        <v>0</v>
      </c>
      <c r="C382" s="279">
        <f t="shared" si="60"/>
        <v>0</v>
      </c>
      <c r="D382" s="279">
        <f t="shared" si="60"/>
        <v>0</v>
      </c>
      <c r="E382" s="279">
        <f t="shared" si="60"/>
        <v>0</v>
      </c>
      <c r="F382" s="279">
        <f t="shared" si="60"/>
        <v>0</v>
      </c>
      <c r="G382" s="279">
        <f t="shared" si="60"/>
        <v>0</v>
      </c>
      <c r="H382" s="279">
        <f t="shared" si="60"/>
        <v>0</v>
      </c>
      <c r="I382" s="279">
        <f t="shared" si="60"/>
        <v>0</v>
      </c>
      <c r="J382" s="279">
        <f t="shared" si="60"/>
        <v>0</v>
      </c>
      <c r="K382" s="279">
        <f t="shared" si="60"/>
        <v>0</v>
      </c>
      <c r="L382" s="279">
        <f t="shared" si="60"/>
        <v>0</v>
      </c>
      <c r="M382" s="279">
        <f t="shared" si="60"/>
        <v>0</v>
      </c>
      <c r="N382" s="279">
        <f t="shared" si="60"/>
        <v>0</v>
      </c>
      <c r="O382" s="279">
        <f t="shared" si="60"/>
        <v>0</v>
      </c>
      <c r="P382" s="279">
        <f t="shared" si="60"/>
        <v>0</v>
      </c>
      <c r="Q382" s="279">
        <f t="shared" si="60"/>
        <v>0</v>
      </c>
      <c r="R382" s="279">
        <f t="shared" si="60"/>
        <v>0</v>
      </c>
      <c r="S382" s="279">
        <f t="shared" si="60"/>
        <v>0</v>
      </c>
      <c r="T382" s="279">
        <f t="shared" si="60"/>
        <v>0</v>
      </c>
      <c r="U382" s="279">
        <f t="shared" si="60"/>
        <v>0</v>
      </c>
      <c r="V382" s="279">
        <f t="shared" si="60"/>
        <v>0</v>
      </c>
      <c r="W382" s="279">
        <f t="shared" si="60"/>
        <v>0</v>
      </c>
      <c r="X382" s="279">
        <f t="shared" si="60"/>
        <v>0</v>
      </c>
      <c r="Y382" s="279">
        <f t="shared" si="60"/>
        <v>0</v>
      </c>
      <c r="Z382" s="279">
        <f t="shared" ref="Z382:AA382" si="61">SUM(Z334:Z381)</f>
        <v>0</v>
      </c>
      <c r="AA382" s="279">
        <f t="shared" si="61"/>
        <v>0</v>
      </c>
      <c r="AB382" s="279">
        <f t="shared" si="60"/>
        <v>0</v>
      </c>
      <c r="AC382" s="279">
        <f t="shared" si="60"/>
        <v>0</v>
      </c>
      <c r="AD382" s="279">
        <f t="shared" si="60"/>
        <v>0</v>
      </c>
      <c r="AE382" s="280">
        <f>SUM(B382:AD382)</f>
        <v>0</v>
      </c>
      <c r="AF382" s="339"/>
      <c r="AG382" s="340"/>
      <c r="AH382" s="340"/>
      <c r="AI382" s="340"/>
    </row>
    <row r="383" spans="1:35" ht="18.75" customHeight="1" x14ac:dyDescent="0.3">
      <c r="A383" s="287" t="s">
        <v>246</v>
      </c>
      <c r="B383" s="279">
        <f t="shared" ref="B383:AD383" si="62">SUM(B332+B382)</f>
        <v>51061.2</v>
      </c>
      <c r="C383" s="279">
        <f t="shared" si="62"/>
        <v>104149.33</v>
      </c>
      <c r="D383" s="279">
        <f t="shared" si="62"/>
        <v>3500</v>
      </c>
      <c r="E383" s="279">
        <f t="shared" si="62"/>
        <v>0</v>
      </c>
      <c r="F383" s="279">
        <f t="shared" si="62"/>
        <v>0</v>
      </c>
      <c r="G383" s="279">
        <f t="shared" si="62"/>
        <v>2600</v>
      </c>
      <c r="H383" s="279">
        <f t="shared" si="62"/>
        <v>0</v>
      </c>
      <c r="I383" s="279">
        <f t="shared" si="62"/>
        <v>49458</v>
      </c>
      <c r="J383" s="279">
        <f t="shared" si="62"/>
        <v>320434.92000000004</v>
      </c>
      <c r="K383" s="279">
        <f t="shared" si="62"/>
        <v>15200</v>
      </c>
      <c r="L383" s="279">
        <f t="shared" si="62"/>
        <v>66867</v>
      </c>
      <c r="M383" s="279">
        <f t="shared" si="62"/>
        <v>41505</v>
      </c>
      <c r="N383" s="279">
        <f t="shared" si="62"/>
        <v>0</v>
      </c>
      <c r="O383" s="279">
        <f t="shared" si="62"/>
        <v>0</v>
      </c>
      <c r="P383" s="279">
        <f t="shared" si="62"/>
        <v>0</v>
      </c>
      <c r="Q383" s="279">
        <f t="shared" si="62"/>
        <v>53499</v>
      </c>
      <c r="R383" s="279">
        <f t="shared" si="62"/>
        <v>27285</v>
      </c>
      <c r="S383" s="279">
        <f t="shared" si="62"/>
        <v>0</v>
      </c>
      <c r="T383" s="279">
        <f t="shared" si="62"/>
        <v>39162</v>
      </c>
      <c r="U383" s="279">
        <f t="shared" si="62"/>
        <v>270000</v>
      </c>
      <c r="V383" s="279">
        <f t="shared" si="62"/>
        <v>0</v>
      </c>
      <c r="W383" s="279">
        <f t="shared" si="62"/>
        <v>24824</v>
      </c>
      <c r="X383" s="279">
        <f t="shared" si="62"/>
        <v>75836.25</v>
      </c>
      <c r="Y383" s="279">
        <f t="shared" si="62"/>
        <v>0</v>
      </c>
      <c r="Z383" s="279">
        <f t="shared" ref="Z383:AA383" si="63">SUM(Z332+Z382)</f>
        <v>0</v>
      </c>
      <c r="AA383" s="279">
        <f t="shared" si="63"/>
        <v>0</v>
      </c>
      <c r="AB383" s="279">
        <f t="shared" si="62"/>
        <v>83280.240000000005</v>
      </c>
      <c r="AC383" s="279">
        <f t="shared" si="62"/>
        <v>131660.71</v>
      </c>
      <c r="AD383" s="279">
        <f t="shared" si="62"/>
        <v>0</v>
      </c>
      <c r="AE383" s="280">
        <f>SUM(B383:AD383)</f>
        <v>1360322.6500000001</v>
      </c>
      <c r="AF383" s="308"/>
      <c r="AG383" s="195"/>
      <c r="AH383" s="195"/>
      <c r="AI383" s="195"/>
    </row>
    <row r="384" spans="1:35" ht="18.75" customHeight="1" x14ac:dyDescent="0.3">
      <c r="A384" s="287" t="s">
        <v>247</v>
      </c>
      <c r="B384" s="279">
        <f t="shared" ref="B384:AD384" si="64">SUM(B333-B382)</f>
        <v>515738.8</v>
      </c>
      <c r="C384" s="279">
        <f t="shared" si="64"/>
        <v>45850.669999999991</v>
      </c>
      <c r="D384" s="279">
        <f t="shared" si="64"/>
        <v>324500</v>
      </c>
      <c r="E384" s="279">
        <f t="shared" si="64"/>
        <v>0</v>
      </c>
      <c r="F384" s="279">
        <f t="shared" si="64"/>
        <v>0</v>
      </c>
      <c r="G384" s="279">
        <f t="shared" si="64"/>
        <v>-2600</v>
      </c>
      <c r="H384" s="279">
        <f t="shared" si="64"/>
        <v>0</v>
      </c>
      <c r="I384" s="279">
        <f t="shared" si="64"/>
        <v>198442</v>
      </c>
      <c r="J384" s="279">
        <f t="shared" si="64"/>
        <v>-320434.92000000004</v>
      </c>
      <c r="K384" s="279">
        <f t="shared" si="64"/>
        <v>-15200</v>
      </c>
      <c r="L384" s="279">
        <f t="shared" si="64"/>
        <v>183133</v>
      </c>
      <c r="M384" s="279">
        <f t="shared" si="64"/>
        <v>98495</v>
      </c>
      <c r="N384" s="279">
        <f t="shared" si="64"/>
        <v>0</v>
      </c>
      <c r="O384" s="279">
        <f t="shared" si="64"/>
        <v>0</v>
      </c>
      <c r="P384" s="279">
        <f t="shared" si="64"/>
        <v>0</v>
      </c>
      <c r="Q384" s="279">
        <f t="shared" si="64"/>
        <v>160501</v>
      </c>
      <c r="R384" s="279">
        <f t="shared" si="64"/>
        <v>361660</v>
      </c>
      <c r="S384" s="279">
        <f t="shared" si="64"/>
        <v>74900</v>
      </c>
      <c r="T384" s="279">
        <f t="shared" si="64"/>
        <v>1154497</v>
      </c>
      <c r="U384" s="279">
        <f t="shared" si="64"/>
        <v>1234800</v>
      </c>
      <c r="V384" s="279">
        <f t="shared" si="64"/>
        <v>189600</v>
      </c>
      <c r="W384" s="279">
        <f t="shared" si="64"/>
        <v>74472</v>
      </c>
      <c r="X384" s="279">
        <f t="shared" si="64"/>
        <v>84163.75</v>
      </c>
      <c r="Y384" s="279">
        <f t="shared" si="64"/>
        <v>8500000</v>
      </c>
      <c r="Z384" s="279">
        <f t="shared" ref="Z384:AA384" si="65">SUM(Z333-Z382)</f>
        <v>716400</v>
      </c>
      <c r="AA384" s="279">
        <f t="shared" si="65"/>
        <v>1113800</v>
      </c>
      <c r="AB384" s="279">
        <f t="shared" si="64"/>
        <v>91519.75999999998</v>
      </c>
      <c r="AC384" s="279">
        <f t="shared" si="64"/>
        <v>66339.290000000008</v>
      </c>
      <c r="AD384" s="279">
        <f t="shared" si="64"/>
        <v>0</v>
      </c>
      <c r="AE384" s="280">
        <f>SUM(B384:AD384)</f>
        <v>14850577.35</v>
      </c>
      <c r="AF384" s="308"/>
      <c r="AG384" s="195"/>
      <c r="AH384" s="195"/>
      <c r="AI384" s="195"/>
    </row>
    <row r="385" spans="1:35" ht="18.75" customHeight="1" x14ac:dyDescent="0.3">
      <c r="A385" s="284" t="s">
        <v>248</v>
      </c>
      <c r="B385" s="136"/>
      <c r="C385" s="136"/>
      <c r="D385" s="136"/>
      <c r="E385" s="136"/>
      <c r="F385" s="136"/>
      <c r="G385" s="136"/>
      <c r="H385" s="136"/>
      <c r="I385" s="136"/>
      <c r="J385" s="136"/>
      <c r="K385" s="136"/>
      <c r="L385" s="136"/>
      <c r="M385" s="136"/>
      <c r="N385" s="136"/>
      <c r="O385" s="136"/>
      <c r="P385" s="136"/>
      <c r="Q385" s="136"/>
      <c r="R385" s="136"/>
      <c r="S385" s="136"/>
      <c r="T385" s="136"/>
      <c r="U385" s="136"/>
      <c r="V385" s="136"/>
      <c r="W385" s="136"/>
      <c r="X385" s="136"/>
      <c r="Y385" s="136"/>
      <c r="Z385" s="136"/>
      <c r="AA385" s="136"/>
      <c r="AB385" s="136"/>
      <c r="AC385" s="136"/>
      <c r="AD385" s="136"/>
      <c r="AE385" s="145"/>
      <c r="AF385" s="272"/>
      <c r="AG385" s="136"/>
      <c r="AH385" s="136"/>
      <c r="AI385" s="136"/>
    </row>
    <row r="386" spans="1:35" ht="18.75" customHeight="1" x14ac:dyDescent="0.3">
      <c r="A386" s="281">
        <v>45474</v>
      </c>
      <c r="B386" s="136"/>
      <c r="C386" s="136"/>
      <c r="D386" s="136"/>
      <c r="E386" s="136"/>
      <c r="F386" s="136"/>
      <c r="G386" s="136"/>
      <c r="H386" s="136"/>
      <c r="I386" s="136"/>
      <c r="J386" s="136"/>
      <c r="K386" s="136"/>
      <c r="L386" s="136"/>
      <c r="M386" s="136"/>
      <c r="N386" s="136"/>
      <c r="O386" s="136"/>
      <c r="P386" s="136"/>
      <c r="Q386" s="136"/>
      <c r="R386" s="136"/>
      <c r="S386" s="136"/>
      <c r="T386" s="136"/>
      <c r="U386" s="136"/>
      <c r="V386" s="136"/>
      <c r="W386" s="136"/>
      <c r="X386" s="136"/>
      <c r="Y386" s="136"/>
      <c r="Z386" s="136"/>
      <c r="AA386" s="136"/>
      <c r="AB386" s="136"/>
      <c r="AC386" s="136"/>
      <c r="AD386" s="136"/>
      <c r="AE386" s="353">
        <f t="shared" ref="AE386:AE426" si="66">SUM(B386:AD386)</f>
        <v>0</v>
      </c>
      <c r="AF386" s="272" t="s">
        <v>684</v>
      </c>
      <c r="AG386" s="136"/>
      <c r="AH386" s="136"/>
      <c r="AI386" s="136"/>
    </row>
    <row r="387" spans="1:35" ht="18.75" customHeight="1" x14ac:dyDescent="0.3">
      <c r="A387" s="281">
        <v>45474</v>
      </c>
      <c r="B387" s="136"/>
      <c r="C387" s="136"/>
      <c r="D387" s="136"/>
      <c r="E387" s="136"/>
      <c r="F387" s="136"/>
      <c r="G387" s="136"/>
      <c r="H387" s="136"/>
      <c r="I387" s="136"/>
      <c r="J387" s="136"/>
      <c r="K387" s="136"/>
      <c r="L387" s="136"/>
      <c r="M387" s="136"/>
      <c r="N387" s="136"/>
      <c r="O387" s="136"/>
      <c r="P387" s="136"/>
      <c r="Q387" s="136"/>
      <c r="R387" s="136"/>
      <c r="S387" s="136"/>
      <c r="T387" s="136"/>
      <c r="U387" s="136"/>
      <c r="V387" s="136"/>
      <c r="W387" s="136"/>
      <c r="X387" s="136"/>
      <c r="Y387" s="136"/>
      <c r="Z387" s="136"/>
      <c r="AA387" s="136"/>
      <c r="AB387" s="136"/>
      <c r="AC387" s="136"/>
      <c r="AD387" s="136"/>
      <c r="AE387" s="353">
        <f t="shared" si="66"/>
        <v>0</v>
      </c>
      <c r="AF387" s="272" t="s">
        <v>685</v>
      </c>
      <c r="AG387" s="136"/>
      <c r="AH387" s="136"/>
      <c r="AI387" s="136"/>
    </row>
    <row r="388" spans="1:35" ht="18.75" customHeight="1" x14ac:dyDescent="0.3">
      <c r="A388" s="281">
        <v>45474</v>
      </c>
      <c r="B388" s="136"/>
      <c r="C388" s="136"/>
      <c r="D388" s="136"/>
      <c r="E388" s="136"/>
      <c r="F388" s="136"/>
      <c r="G388" s="136"/>
      <c r="H388" s="136"/>
      <c r="I388" s="136"/>
      <c r="J388" s="136"/>
      <c r="K388" s="136"/>
      <c r="L388" s="136"/>
      <c r="M388" s="136"/>
      <c r="N388" s="136"/>
      <c r="O388" s="136"/>
      <c r="P388" s="136"/>
      <c r="Q388" s="136"/>
      <c r="R388" s="136"/>
      <c r="S388" s="136"/>
      <c r="T388" s="136"/>
      <c r="U388" s="136"/>
      <c r="V388" s="136"/>
      <c r="W388" s="136"/>
      <c r="X388" s="136"/>
      <c r="Y388" s="136"/>
      <c r="Z388" s="136"/>
      <c r="AA388" s="136"/>
      <c r="AB388" s="136"/>
      <c r="AC388" s="136"/>
      <c r="AD388" s="136"/>
      <c r="AE388" s="353">
        <f t="shared" si="66"/>
        <v>0</v>
      </c>
      <c r="AF388" s="272" t="s">
        <v>686</v>
      </c>
      <c r="AG388" s="136"/>
      <c r="AH388" s="136"/>
      <c r="AI388" s="136"/>
    </row>
    <row r="389" spans="1:35" ht="18.75" customHeight="1" x14ac:dyDescent="0.3">
      <c r="A389" s="281">
        <v>45474</v>
      </c>
      <c r="B389" s="136"/>
      <c r="C389" s="136"/>
      <c r="D389" s="136"/>
      <c r="E389" s="136"/>
      <c r="F389" s="136"/>
      <c r="G389" s="136"/>
      <c r="H389" s="136"/>
      <c r="I389" s="136"/>
      <c r="J389" s="136"/>
      <c r="K389" s="136"/>
      <c r="L389" s="136"/>
      <c r="M389" s="136"/>
      <c r="N389" s="136"/>
      <c r="O389" s="136"/>
      <c r="P389" s="136"/>
      <c r="Q389" s="136"/>
      <c r="R389" s="136"/>
      <c r="S389" s="136"/>
      <c r="T389" s="136"/>
      <c r="U389" s="136"/>
      <c r="V389" s="136"/>
      <c r="W389" s="136"/>
      <c r="X389" s="136"/>
      <c r="Y389" s="136"/>
      <c r="Z389" s="136"/>
      <c r="AA389" s="136"/>
      <c r="AB389" s="136"/>
      <c r="AC389" s="136"/>
      <c r="AD389" s="136"/>
      <c r="AE389" s="353">
        <f t="shared" si="66"/>
        <v>0</v>
      </c>
      <c r="AF389" s="272" t="s">
        <v>687</v>
      </c>
      <c r="AG389" s="136"/>
      <c r="AH389" s="136"/>
      <c r="AI389" s="136"/>
    </row>
    <row r="390" spans="1:35" ht="18.75" customHeight="1" x14ac:dyDescent="0.3">
      <c r="A390" s="281">
        <v>45477</v>
      </c>
      <c r="B390" s="136"/>
      <c r="C390" s="136"/>
      <c r="D390" s="136"/>
      <c r="E390" s="136"/>
      <c r="F390" s="136"/>
      <c r="G390" s="136"/>
      <c r="H390" s="136"/>
      <c r="I390" s="136"/>
      <c r="J390" s="136"/>
      <c r="K390" s="136"/>
      <c r="L390" s="136"/>
      <c r="M390" s="136"/>
      <c r="N390" s="136"/>
      <c r="O390" s="136"/>
      <c r="P390" s="136"/>
      <c r="Q390" s="136"/>
      <c r="R390" s="136"/>
      <c r="S390" s="136"/>
      <c r="T390" s="136"/>
      <c r="U390" s="136"/>
      <c r="V390" s="136"/>
      <c r="W390" s="136"/>
      <c r="X390" s="136"/>
      <c r="Y390" s="136"/>
      <c r="Z390" s="136"/>
      <c r="AA390" s="136"/>
      <c r="AB390" s="136"/>
      <c r="AC390" s="136"/>
      <c r="AD390" s="136"/>
      <c r="AE390" s="353">
        <f t="shared" si="66"/>
        <v>0</v>
      </c>
      <c r="AF390" s="272" t="s">
        <v>688</v>
      </c>
      <c r="AG390" s="136"/>
      <c r="AH390" s="136"/>
      <c r="AI390" s="136"/>
    </row>
    <row r="391" spans="1:35" ht="18.75" customHeight="1" x14ac:dyDescent="0.3">
      <c r="A391" s="281">
        <v>45477</v>
      </c>
      <c r="B391" s="136"/>
      <c r="C391" s="136"/>
      <c r="D391" s="136"/>
      <c r="E391" s="136"/>
      <c r="F391" s="136"/>
      <c r="G391" s="136"/>
      <c r="H391" s="136"/>
      <c r="I391" s="136"/>
      <c r="J391" s="136"/>
      <c r="K391" s="136"/>
      <c r="L391" s="136"/>
      <c r="M391" s="136"/>
      <c r="N391" s="136"/>
      <c r="O391" s="136"/>
      <c r="P391" s="136"/>
      <c r="Q391" s="136"/>
      <c r="R391" s="136"/>
      <c r="S391" s="136"/>
      <c r="T391" s="136"/>
      <c r="U391" s="136"/>
      <c r="V391" s="136"/>
      <c r="W391" s="136"/>
      <c r="X391" s="136"/>
      <c r="Y391" s="136"/>
      <c r="Z391" s="136"/>
      <c r="AA391" s="136"/>
      <c r="AB391" s="136"/>
      <c r="AC391" s="136"/>
      <c r="AD391" s="136"/>
      <c r="AE391" s="353">
        <f t="shared" si="66"/>
        <v>0</v>
      </c>
      <c r="AF391" s="272" t="s">
        <v>689</v>
      </c>
      <c r="AG391" s="136"/>
      <c r="AH391" s="136"/>
      <c r="AI391" s="136"/>
    </row>
    <row r="392" spans="1:35" ht="18.75" customHeight="1" x14ac:dyDescent="0.3">
      <c r="A392" s="281">
        <v>45478</v>
      </c>
      <c r="B392" s="136"/>
      <c r="C392" s="136"/>
      <c r="D392" s="136"/>
      <c r="E392" s="136"/>
      <c r="F392" s="136"/>
      <c r="G392" s="136"/>
      <c r="H392" s="136"/>
      <c r="I392" s="136"/>
      <c r="J392" s="136"/>
      <c r="K392" s="136"/>
      <c r="L392" s="136"/>
      <c r="M392" s="136"/>
      <c r="N392" s="136"/>
      <c r="O392" s="136"/>
      <c r="P392" s="136"/>
      <c r="Q392" s="136"/>
      <c r="R392" s="136"/>
      <c r="S392" s="136"/>
      <c r="T392" s="136"/>
      <c r="U392" s="136"/>
      <c r="V392" s="136"/>
      <c r="W392" s="136"/>
      <c r="X392" s="136"/>
      <c r="Y392" s="136"/>
      <c r="Z392" s="136"/>
      <c r="AA392" s="136"/>
      <c r="AB392" s="136"/>
      <c r="AC392" s="136"/>
      <c r="AD392" s="136"/>
      <c r="AE392" s="353">
        <f t="shared" si="66"/>
        <v>0</v>
      </c>
      <c r="AF392" s="272" t="s">
        <v>690</v>
      </c>
      <c r="AG392" s="136"/>
      <c r="AH392" s="136"/>
      <c r="AI392" s="136"/>
    </row>
    <row r="393" spans="1:35" ht="18.75" customHeight="1" x14ac:dyDescent="0.3">
      <c r="A393" s="281">
        <v>45478</v>
      </c>
      <c r="B393" s="136"/>
      <c r="C393" s="136"/>
      <c r="D393" s="136"/>
      <c r="E393" s="136"/>
      <c r="F393" s="136"/>
      <c r="G393" s="136"/>
      <c r="H393" s="136"/>
      <c r="I393" s="136"/>
      <c r="J393" s="136"/>
      <c r="K393" s="136"/>
      <c r="L393" s="136"/>
      <c r="M393" s="136"/>
      <c r="N393" s="136"/>
      <c r="O393" s="136"/>
      <c r="P393" s="136"/>
      <c r="Q393" s="136"/>
      <c r="R393" s="136"/>
      <c r="S393" s="136"/>
      <c r="T393" s="136"/>
      <c r="U393" s="136"/>
      <c r="V393" s="136"/>
      <c r="W393" s="136"/>
      <c r="X393" s="136"/>
      <c r="Y393" s="136"/>
      <c r="Z393" s="136"/>
      <c r="AA393" s="136"/>
      <c r="AB393" s="136"/>
      <c r="AC393" s="136"/>
      <c r="AD393" s="136"/>
      <c r="AE393" s="353">
        <f t="shared" si="66"/>
        <v>0</v>
      </c>
      <c r="AF393" s="272" t="s">
        <v>691</v>
      </c>
      <c r="AG393" s="136"/>
      <c r="AH393" s="136"/>
      <c r="AI393" s="136"/>
    </row>
    <row r="394" spans="1:35" ht="18.75" customHeight="1" x14ac:dyDescent="0.3">
      <c r="A394" s="281">
        <v>45478</v>
      </c>
      <c r="B394" s="136"/>
      <c r="C394" s="136"/>
      <c r="D394" s="136"/>
      <c r="E394" s="136"/>
      <c r="F394" s="136"/>
      <c r="G394" s="136"/>
      <c r="H394" s="136"/>
      <c r="I394" s="136"/>
      <c r="J394" s="136"/>
      <c r="K394" s="136"/>
      <c r="L394" s="136"/>
      <c r="M394" s="136"/>
      <c r="N394" s="136"/>
      <c r="O394" s="136"/>
      <c r="P394" s="136"/>
      <c r="Q394" s="136"/>
      <c r="R394" s="136"/>
      <c r="S394" s="136"/>
      <c r="T394" s="136"/>
      <c r="U394" s="136"/>
      <c r="V394" s="136"/>
      <c r="W394" s="136"/>
      <c r="X394" s="136"/>
      <c r="Y394" s="136"/>
      <c r="Z394" s="136"/>
      <c r="AA394" s="136"/>
      <c r="AB394" s="136"/>
      <c r="AC394" s="136"/>
      <c r="AD394" s="136"/>
      <c r="AE394" s="353">
        <f t="shared" si="66"/>
        <v>0</v>
      </c>
      <c r="AF394" s="272" t="s">
        <v>692</v>
      </c>
      <c r="AG394" s="136"/>
      <c r="AH394" s="136"/>
      <c r="AI394" s="136"/>
    </row>
    <row r="395" spans="1:35" ht="18.75" customHeight="1" x14ac:dyDescent="0.3">
      <c r="A395" s="281">
        <v>45572</v>
      </c>
      <c r="B395" s="136"/>
      <c r="C395" s="136"/>
      <c r="D395" s="136"/>
      <c r="E395" s="136"/>
      <c r="F395" s="136"/>
      <c r="G395" s="136"/>
      <c r="H395" s="136"/>
      <c r="I395" s="136"/>
      <c r="J395" s="136"/>
      <c r="K395" s="136"/>
      <c r="L395" s="136"/>
      <c r="M395" s="136"/>
      <c r="N395" s="136"/>
      <c r="O395" s="136"/>
      <c r="P395" s="136"/>
      <c r="Q395" s="136"/>
      <c r="R395" s="136"/>
      <c r="S395" s="136"/>
      <c r="T395" s="136"/>
      <c r="U395" s="136"/>
      <c r="V395" s="136"/>
      <c r="W395" s="136"/>
      <c r="X395" s="136"/>
      <c r="Y395" s="136"/>
      <c r="Z395" s="136"/>
      <c r="AA395" s="136"/>
      <c r="AB395" s="136"/>
      <c r="AC395" s="136"/>
      <c r="AD395" s="136"/>
      <c r="AE395" s="353">
        <f t="shared" si="66"/>
        <v>0</v>
      </c>
      <c r="AF395" s="272" t="s">
        <v>693</v>
      </c>
      <c r="AG395" s="136"/>
      <c r="AH395" s="136"/>
      <c r="AI395" s="136"/>
    </row>
    <row r="396" spans="1:35" ht="18.75" customHeight="1" x14ac:dyDescent="0.3">
      <c r="A396" s="281">
        <v>45484</v>
      </c>
      <c r="B396" s="136"/>
      <c r="C396" s="136"/>
      <c r="D396" s="136"/>
      <c r="E396" s="136"/>
      <c r="F396" s="136"/>
      <c r="G396" s="136"/>
      <c r="H396" s="136"/>
      <c r="I396" s="136"/>
      <c r="J396" s="136"/>
      <c r="K396" s="136"/>
      <c r="L396" s="136"/>
      <c r="M396" s="136"/>
      <c r="N396" s="136"/>
      <c r="O396" s="136"/>
      <c r="P396" s="136"/>
      <c r="Q396" s="136"/>
      <c r="R396" s="136"/>
      <c r="S396" s="136"/>
      <c r="T396" s="136"/>
      <c r="U396" s="136"/>
      <c r="V396" s="136"/>
      <c r="W396" s="136"/>
      <c r="X396" s="136"/>
      <c r="Y396" s="136"/>
      <c r="Z396" s="136"/>
      <c r="AA396" s="136"/>
      <c r="AB396" s="136"/>
      <c r="AC396" s="136"/>
      <c r="AD396" s="136"/>
      <c r="AE396" s="353">
        <f t="shared" si="66"/>
        <v>0</v>
      </c>
      <c r="AF396" s="272" t="s">
        <v>694</v>
      </c>
      <c r="AG396" s="138"/>
      <c r="AH396" s="138"/>
      <c r="AI396" s="138"/>
    </row>
    <row r="397" spans="1:35" ht="18.75" customHeight="1" x14ac:dyDescent="0.3">
      <c r="A397" s="281">
        <v>45485</v>
      </c>
      <c r="B397" s="136"/>
      <c r="C397" s="136"/>
      <c r="D397" s="136"/>
      <c r="E397" s="136"/>
      <c r="F397" s="136"/>
      <c r="G397" s="136"/>
      <c r="H397" s="136"/>
      <c r="I397" s="136"/>
      <c r="J397" s="136"/>
      <c r="K397" s="136"/>
      <c r="L397" s="136"/>
      <c r="M397" s="136"/>
      <c r="N397" s="136"/>
      <c r="O397" s="136"/>
      <c r="P397" s="136"/>
      <c r="Q397" s="136"/>
      <c r="R397" s="136"/>
      <c r="S397" s="136"/>
      <c r="T397" s="136"/>
      <c r="U397" s="136"/>
      <c r="V397" s="136"/>
      <c r="W397" s="136"/>
      <c r="X397" s="136"/>
      <c r="Y397" s="136"/>
      <c r="Z397" s="136"/>
      <c r="AA397" s="136"/>
      <c r="AB397" s="136"/>
      <c r="AC397" s="136"/>
      <c r="AD397" s="136"/>
      <c r="AE397" s="353">
        <f t="shared" si="66"/>
        <v>0</v>
      </c>
      <c r="AF397" s="272" t="s">
        <v>695</v>
      </c>
      <c r="AG397" s="138"/>
      <c r="AH397" s="138"/>
      <c r="AI397" s="138"/>
    </row>
    <row r="398" spans="1:35" ht="18.75" customHeight="1" x14ac:dyDescent="0.3">
      <c r="A398" s="281">
        <v>45485</v>
      </c>
      <c r="B398" s="136"/>
      <c r="C398" s="136"/>
      <c r="D398" s="136"/>
      <c r="E398" s="136"/>
      <c r="F398" s="136"/>
      <c r="G398" s="136"/>
      <c r="H398" s="136"/>
      <c r="I398" s="136"/>
      <c r="J398" s="136"/>
      <c r="K398" s="136"/>
      <c r="L398" s="136"/>
      <c r="M398" s="136"/>
      <c r="N398" s="136"/>
      <c r="O398" s="136"/>
      <c r="P398" s="136"/>
      <c r="Q398" s="136"/>
      <c r="R398" s="136"/>
      <c r="S398" s="136"/>
      <c r="T398" s="136"/>
      <c r="U398" s="136"/>
      <c r="V398" s="136"/>
      <c r="W398" s="136"/>
      <c r="X398" s="136"/>
      <c r="Y398" s="136"/>
      <c r="Z398" s="136"/>
      <c r="AA398" s="136"/>
      <c r="AB398" s="136"/>
      <c r="AC398" s="136"/>
      <c r="AD398" s="136"/>
      <c r="AE398" s="353">
        <f t="shared" si="66"/>
        <v>0</v>
      </c>
      <c r="AF398" s="272" t="s">
        <v>696</v>
      </c>
      <c r="AG398" s="136"/>
      <c r="AH398" s="136"/>
      <c r="AI398" s="136"/>
    </row>
    <row r="399" spans="1:35" ht="18.75" customHeight="1" x14ac:dyDescent="0.3">
      <c r="A399" s="281">
        <v>45485</v>
      </c>
      <c r="B399" s="136"/>
      <c r="C399" s="136"/>
      <c r="D399" s="136"/>
      <c r="E399" s="136"/>
      <c r="F399" s="136"/>
      <c r="G399" s="136"/>
      <c r="H399" s="136"/>
      <c r="I399" s="136"/>
      <c r="J399" s="136"/>
      <c r="K399" s="136"/>
      <c r="L399" s="136"/>
      <c r="M399" s="136"/>
      <c r="N399" s="136"/>
      <c r="O399" s="136"/>
      <c r="P399" s="136"/>
      <c r="Q399" s="136"/>
      <c r="R399" s="136"/>
      <c r="S399" s="136"/>
      <c r="T399" s="136"/>
      <c r="U399" s="136"/>
      <c r="V399" s="136"/>
      <c r="W399" s="136"/>
      <c r="X399" s="136"/>
      <c r="Y399" s="136"/>
      <c r="Z399" s="136"/>
      <c r="AA399" s="136"/>
      <c r="AB399" s="136"/>
      <c r="AC399" s="136"/>
      <c r="AD399" s="136"/>
      <c r="AE399" s="353">
        <f t="shared" si="66"/>
        <v>0</v>
      </c>
      <c r="AF399" s="272" t="s">
        <v>697</v>
      </c>
      <c r="AG399" s="136"/>
      <c r="AH399" s="136"/>
      <c r="AI399" s="136"/>
    </row>
    <row r="400" spans="1:35" ht="18.75" customHeight="1" x14ac:dyDescent="0.3">
      <c r="A400" s="281">
        <v>45491</v>
      </c>
      <c r="B400" s="136"/>
      <c r="C400" s="136"/>
      <c r="D400" s="136"/>
      <c r="E400" s="136"/>
      <c r="F400" s="136"/>
      <c r="G400" s="136"/>
      <c r="H400" s="136"/>
      <c r="I400" s="136"/>
      <c r="J400" s="136"/>
      <c r="K400" s="136"/>
      <c r="L400" s="136"/>
      <c r="M400" s="136"/>
      <c r="N400" s="136"/>
      <c r="O400" s="136"/>
      <c r="P400" s="136"/>
      <c r="Q400" s="136"/>
      <c r="R400" s="136"/>
      <c r="S400" s="136"/>
      <c r="T400" s="136"/>
      <c r="U400" s="136"/>
      <c r="V400" s="136"/>
      <c r="W400" s="136"/>
      <c r="X400" s="136"/>
      <c r="Y400" s="136"/>
      <c r="Z400" s="136"/>
      <c r="AA400" s="136"/>
      <c r="AB400" s="136"/>
      <c r="AC400" s="136"/>
      <c r="AD400" s="136"/>
      <c r="AE400" s="353">
        <f t="shared" si="66"/>
        <v>0</v>
      </c>
      <c r="AF400" s="272" t="s">
        <v>698</v>
      </c>
      <c r="AG400" s="136"/>
      <c r="AH400" s="136"/>
      <c r="AI400" s="136"/>
    </row>
    <row r="401" spans="1:35" ht="18.75" customHeight="1" x14ac:dyDescent="0.3">
      <c r="A401" s="281">
        <v>45491</v>
      </c>
      <c r="B401" s="136"/>
      <c r="C401" s="136"/>
      <c r="D401" s="136"/>
      <c r="E401" s="136"/>
      <c r="F401" s="136"/>
      <c r="G401" s="136"/>
      <c r="H401" s="136"/>
      <c r="I401" s="136"/>
      <c r="J401" s="136"/>
      <c r="K401" s="136"/>
      <c r="L401" s="136"/>
      <c r="M401" s="136"/>
      <c r="N401" s="136"/>
      <c r="O401" s="136"/>
      <c r="P401" s="136"/>
      <c r="Q401" s="136"/>
      <c r="R401" s="136"/>
      <c r="S401" s="136"/>
      <c r="T401" s="136"/>
      <c r="U401" s="136"/>
      <c r="V401" s="136"/>
      <c r="W401" s="136"/>
      <c r="X401" s="136"/>
      <c r="Y401" s="136"/>
      <c r="Z401" s="136"/>
      <c r="AA401" s="136"/>
      <c r="AB401" s="136"/>
      <c r="AC401" s="136"/>
      <c r="AD401" s="136"/>
      <c r="AE401" s="353">
        <f t="shared" si="66"/>
        <v>0</v>
      </c>
      <c r="AF401" s="272" t="s">
        <v>699</v>
      </c>
      <c r="AG401" s="136"/>
      <c r="AH401" s="136"/>
      <c r="AI401" s="136"/>
    </row>
    <row r="402" spans="1:35" ht="18.75" customHeight="1" x14ac:dyDescent="0.3">
      <c r="A402" s="281">
        <v>45491</v>
      </c>
      <c r="B402" s="136"/>
      <c r="C402" s="136"/>
      <c r="D402" s="136"/>
      <c r="E402" s="136"/>
      <c r="F402" s="136"/>
      <c r="G402" s="136"/>
      <c r="H402" s="136"/>
      <c r="I402" s="136"/>
      <c r="J402" s="136"/>
      <c r="K402" s="136"/>
      <c r="L402" s="136"/>
      <c r="M402" s="136"/>
      <c r="N402" s="136"/>
      <c r="O402" s="136"/>
      <c r="P402" s="136"/>
      <c r="Q402" s="136"/>
      <c r="R402" s="136"/>
      <c r="S402" s="136"/>
      <c r="T402" s="136"/>
      <c r="U402" s="136"/>
      <c r="V402" s="136"/>
      <c r="W402" s="136"/>
      <c r="X402" s="136"/>
      <c r="Y402" s="136"/>
      <c r="Z402" s="136"/>
      <c r="AA402" s="136"/>
      <c r="AB402" s="136"/>
      <c r="AC402" s="136"/>
      <c r="AD402" s="136"/>
      <c r="AE402" s="353">
        <f t="shared" si="66"/>
        <v>0</v>
      </c>
      <c r="AF402" s="272" t="s">
        <v>700</v>
      </c>
      <c r="AG402" s="136"/>
      <c r="AH402" s="136"/>
      <c r="AI402" s="136"/>
    </row>
    <row r="403" spans="1:35" ht="18.75" customHeight="1" x14ac:dyDescent="0.3">
      <c r="A403" s="281">
        <v>45491</v>
      </c>
      <c r="B403" s="136"/>
      <c r="C403" s="136"/>
      <c r="D403" s="136"/>
      <c r="E403" s="136"/>
      <c r="F403" s="136"/>
      <c r="G403" s="136"/>
      <c r="H403" s="136"/>
      <c r="I403" s="136"/>
      <c r="J403" s="136"/>
      <c r="K403" s="136"/>
      <c r="L403" s="136"/>
      <c r="M403" s="136"/>
      <c r="N403" s="136"/>
      <c r="O403" s="136"/>
      <c r="P403" s="136"/>
      <c r="Q403" s="136"/>
      <c r="R403" s="136"/>
      <c r="S403" s="136"/>
      <c r="T403" s="136"/>
      <c r="U403" s="136"/>
      <c r="V403" s="136"/>
      <c r="W403" s="136"/>
      <c r="X403" s="136"/>
      <c r="Y403" s="136"/>
      <c r="Z403" s="136"/>
      <c r="AA403" s="136"/>
      <c r="AB403" s="136"/>
      <c r="AC403" s="136"/>
      <c r="AD403" s="136"/>
      <c r="AE403" s="353">
        <f t="shared" si="66"/>
        <v>0</v>
      </c>
      <c r="AF403" s="272" t="s">
        <v>701</v>
      </c>
      <c r="AG403" s="136"/>
      <c r="AH403" s="136"/>
      <c r="AI403" s="136"/>
    </row>
    <row r="404" spans="1:35" ht="18.75" customHeight="1" x14ac:dyDescent="0.3">
      <c r="A404" s="281">
        <v>45492</v>
      </c>
      <c r="B404" s="136"/>
      <c r="C404" s="136"/>
      <c r="D404" s="136"/>
      <c r="E404" s="136"/>
      <c r="F404" s="136"/>
      <c r="G404" s="136"/>
      <c r="H404" s="136"/>
      <c r="I404" s="136"/>
      <c r="J404" s="136"/>
      <c r="K404" s="136"/>
      <c r="L404" s="136"/>
      <c r="M404" s="136"/>
      <c r="N404" s="136"/>
      <c r="O404" s="136"/>
      <c r="P404" s="136"/>
      <c r="Q404" s="136"/>
      <c r="R404" s="136"/>
      <c r="S404" s="136"/>
      <c r="T404" s="136"/>
      <c r="U404" s="136"/>
      <c r="V404" s="136"/>
      <c r="W404" s="136"/>
      <c r="X404" s="136"/>
      <c r="Y404" s="136"/>
      <c r="Z404" s="136"/>
      <c r="AA404" s="136"/>
      <c r="AB404" s="136"/>
      <c r="AC404" s="136"/>
      <c r="AD404" s="136"/>
      <c r="AE404" s="353">
        <f t="shared" si="66"/>
        <v>0</v>
      </c>
      <c r="AF404" s="272" t="s">
        <v>702</v>
      </c>
      <c r="AG404" s="136"/>
      <c r="AH404" s="136"/>
      <c r="AI404" s="136"/>
    </row>
    <row r="405" spans="1:35" ht="18.75" customHeight="1" x14ac:dyDescent="0.3">
      <c r="A405" s="281">
        <v>45496</v>
      </c>
      <c r="B405" s="136"/>
      <c r="C405" s="136"/>
      <c r="D405" s="136"/>
      <c r="E405" s="136"/>
      <c r="F405" s="136"/>
      <c r="G405" s="136"/>
      <c r="H405" s="136"/>
      <c r="I405" s="136"/>
      <c r="J405" s="136"/>
      <c r="K405" s="136"/>
      <c r="L405" s="136"/>
      <c r="M405" s="136"/>
      <c r="N405" s="136"/>
      <c r="O405" s="136"/>
      <c r="P405" s="136"/>
      <c r="Q405" s="136"/>
      <c r="R405" s="136"/>
      <c r="S405" s="136"/>
      <c r="T405" s="136"/>
      <c r="U405" s="136"/>
      <c r="V405" s="136"/>
      <c r="W405" s="136"/>
      <c r="X405" s="136"/>
      <c r="Y405" s="136"/>
      <c r="Z405" s="136"/>
      <c r="AA405" s="136"/>
      <c r="AB405" s="136"/>
      <c r="AC405" s="136"/>
      <c r="AD405" s="136"/>
      <c r="AE405" s="353">
        <f t="shared" si="66"/>
        <v>0</v>
      </c>
      <c r="AF405" s="272" t="s">
        <v>703</v>
      </c>
      <c r="AG405" s="136"/>
      <c r="AH405" s="136"/>
      <c r="AI405" s="136"/>
    </row>
    <row r="406" spans="1:35" ht="18.75" customHeight="1" x14ac:dyDescent="0.3">
      <c r="A406" s="281">
        <v>45496</v>
      </c>
      <c r="B406" s="136"/>
      <c r="C406" s="136"/>
      <c r="D406" s="136"/>
      <c r="E406" s="136"/>
      <c r="F406" s="136"/>
      <c r="G406" s="136"/>
      <c r="H406" s="136"/>
      <c r="I406" s="136"/>
      <c r="J406" s="136"/>
      <c r="K406" s="136"/>
      <c r="L406" s="136"/>
      <c r="M406" s="136"/>
      <c r="N406" s="136"/>
      <c r="O406" s="136"/>
      <c r="P406" s="136"/>
      <c r="Q406" s="136"/>
      <c r="R406" s="136"/>
      <c r="S406" s="136"/>
      <c r="T406" s="136"/>
      <c r="U406" s="136"/>
      <c r="V406" s="136"/>
      <c r="W406" s="136"/>
      <c r="X406" s="136"/>
      <c r="Y406" s="136"/>
      <c r="Z406" s="136"/>
      <c r="AA406" s="136"/>
      <c r="AB406" s="136"/>
      <c r="AC406" s="136"/>
      <c r="AD406" s="136"/>
      <c r="AE406" s="353">
        <f t="shared" si="66"/>
        <v>0</v>
      </c>
      <c r="AF406" s="272" t="s">
        <v>704</v>
      </c>
      <c r="AG406" s="136"/>
      <c r="AH406" s="136"/>
      <c r="AI406" s="136"/>
    </row>
    <row r="407" spans="1:35" ht="18.75" customHeight="1" x14ac:dyDescent="0.3">
      <c r="A407" s="281">
        <v>45496</v>
      </c>
      <c r="B407" s="136"/>
      <c r="C407" s="136"/>
      <c r="D407" s="136"/>
      <c r="E407" s="136"/>
      <c r="F407" s="136"/>
      <c r="G407" s="136"/>
      <c r="H407" s="136"/>
      <c r="I407" s="136"/>
      <c r="J407" s="136"/>
      <c r="K407" s="136"/>
      <c r="L407" s="136"/>
      <c r="M407" s="136"/>
      <c r="N407" s="136"/>
      <c r="O407" s="136"/>
      <c r="P407" s="136"/>
      <c r="Q407" s="136"/>
      <c r="R407" s="136"/>
      <c r="S407" s="136"/>
      <c r="T407" s="136"/>
      <c r="U407" s="136"/>
      <c r="V407" s="136"/>
      <c r="W407" s="136"/>
      <c r="X407" s="136"/>
      <c r="Y407" s="136"/>
      <c r="Z407" s="136"/>
      <c r="AA407" s="136"/>
      <c r="AB407" s="136"/>
      <c r="AC407" s="136"/>
      <c r="AD407" s="136"/>
      <c r="AE407" s="353">
        <f t="shared" si="66"/>
        <v>0</v>
      </c>
      <c r="AF407" s="272" t="s">
        <v>705</v>
      </c>
      <c r="AG407" s="136"/>
      <c r="AH407" s="136"/>
      <c r="AI407" s="136"/>
    </row>
    <row r="408" spans="1:35" ht="18.75" customHeight="1" x14ac:dyDescent="0.3">
      <c r="A408" s="281">
        <v>45496</v>
      </c>
      <c r="B408" s="136"/>
      <c r="C408" s="136"/>
      <c r="D408" s="136"/>
      <c r="E408" s="136"/>
      <c r="F408" s="136"/>
      <c r="G408" s="136"/>
      <c r="H408" s="136"/>
      <c r="I408" s="136"/>
      <c r="J408" s="136"/>
      <c r="K408" s="136"/>
      <c r="L408" s="136"/>
      <c r="M408" s="136"/>
      <c r="N408" s="136"/>
      <c r="O408" s="136"/>
      <c r="P408" s="136"/>
      <c r="Q408" s="136"/>
      <c r="R408" s="136"/>
      <c r="S408" s="136"/>
      <c r="T408" s="136"/>
      <c r="U408" s="136"/>
      <c r="V408" s="136"/>
      <c r="W408" s="136"/>
      <c r="X408" s="136"/>
      <c r="Y408" s="136"/>
      <c r="Z408" s="136"/>
      <c r="AA408" s="136"/>
      <c r="AB408" s="136"/>
      <c r="AC408" s="136"/>
      <c r="AD408" s="136"/>
      <c r="AE408" s="353">
        <f t="shared" si="66"/>
        <v>0</v>
      </c>
      <c r="AF408" s="272" t="s">
        <v>706</v>
      </c>
      <c r="AG408" s="136"/>
      <c r="AH408" s="136"/>
      <c r="AI408" s="136"/>
    </row>
    <row r="409" spans="1:35" ht="18.75" customHeight="1" x14ac:dyDescent="0.3">
      <c r="A409" s="281">
        <v>45496</v>
      </c>
      <c r="B409" s="136"/>
      <c r="C409" s="136"/>
      <c r="D409" s="136"/>
      <c r="E409" s="136"/>
      <c r="F409" s="136"/>
      <c r="G409" s="136"/>
      <c r="H409" s="136"/>
      <c r="I409" s="136"/>
      <c r="J409" s="136"/>
      <c r="K409" s="136"/>
      <c r="L409" s="136"/>
      <c r="M409" s="136"/>
      <c r="N409" s="136"/>
      <c r="O409" s="136"/>
      <c r="P409" s="136"/>
      <c r="Q409" s="136"/>
      <c r="R409" s="136"/>
      <c r="S409" s="136"/>
      <c r="T409" s="136"/>
      <c r="U409" s="136"/>
      <c r="V409" s="136"/>
      <c r="W409" s="136"/>
      <c r="X409" s="136"/>
      <c r="Y409" s="136"/>
      <c r="Z409" s="136"/>
      <c r="AA409" s="136"/>
      <c r="AB409" s="136"/>
      <c r="AC409" s="136"/>
      <c r="AD409" s="136"/>
      <c r="AE409" s="353">
        <f t="shared" si="66"/>
        <v>0</v>
      </c>
      <c r="AF409" s="272" t="s">
        <v>707</v>
      </c>
      <c r="AG409" s="136"/>
      <c r="AH409" s="136"/>
      <c r="AI409" s="136"/>
    </row>
    <row r="410" spans="1:35" ht="18.75" customHeight="1" x14ac:dyDescent="0.3">
      <c r="A410" s="281">
        <v>45496</v>
      </c>
      <c r="B410" s="136"/>
      <c r="C410" s="136"/>
      <c r="D410" s="136"/>
      <c r="E410" s="136"/>
      <c r="F410" s="136"/>
      <c r="G410" s="136"/>
      <c r="H410" s="136"/>
      <c r="I410" s="136"/>
      <c r="J410" s="136"/>
      <c r="K410" s="136"/>
      <c r="L410" s="136"/>
      <c r="M410" s="136"/>
      <c r="N410" s="136"/>
      <c r="O410" s="136"/>
      <c r="P410" s="136"/>
      <c r="Q410" s="136"/>
      <c r="R410" s="136"/>
      <c r="S410" s="136"/>
      <c r="T410" s="136"/>
      <c r="U410" s="136"/>
      <c r="V410" s="136"/>
      <c r="W410" s="136"/>
      <c r="X410" s="136"/>
      <c r="Y410" s="136"/>
      <c r="Z410" s="136"/>
      <c r="AA410" s="136"/>
      <c r="AB410" s="136"/>
      <c r="AC410" s="136"/>
      <c r="AD410" s="136"/>
      <c r="AE410" s="353">
        <f t="shared" si="66"/>
        <v>0</v>
      </c>
      <c r="AF410" s="272" t="s">
        <v>708</v>
      </c>
      <c r="AG410" s="136"/>
      <c r="AH410" s="136"/>
      <c r="AI410" s="136"/>
    </row>
    <row r="411" spans="1:35" ht="18.75" customHeight="1" x14ac:dyDescent="0.3">
      <c r="A411" s="281">
        <v>45496</v>
      </c>
      <c r="B411" s="136"/>
      <c r="C411" s="136"/>
      <c r="D411" s="136"/>
      <c r="E411" s="136"/>
      <c r="F411" s="136"/>
      <c r="G411" s="136"/>
      <c r="H411" s="136"/>
      <c r="I411" s="136"/>
      <c r="J411" s="136"/>
      <c r="K411" s="136"/>
      <c r="L411" s="136"/>
      <c r="M411" s="136"/>
      <c r="N411" s="136"/>
      <c r="O411" s="136"/>
      <c r="P411" s="136"/>
      <c r="Q411" s="136"/>
      <c r="R411" s="136"/>
      <c r="S411" s="136"/>
      <c r="T411" s="136"/>
      <c r="U411" s="136"/>
      <c r="V411" s="136"/>
      <c r="W411" s="136"/>
      <c r="X411" s="136"/>
      <c r="Y411" s="136"/>
      <c r="Z411" s="136"/>
      <c r="AA411" s="136"/>
      <c r="AB411" s="136"/>
      <c r="AC411" s="136"/>
      <c r="AD411" s="136"/>
      <c r="AE411" s="353">
        <f t="shared" si="66"/>
        <v>0</v>
      </c>
      <c r="AF411" s="272" t="s">
        <v>709</v>
      </c>
      <c r="AG411" s="136"/>
      <c r="AH411" s="136"/>
      <c r="AI411" s="136"/>
    </row>
    <row r="412" spans="1:35" ht="18.75" customHeight="1" x14ac:dyDescent="0.3">
      <c r="A412" s="281">
        <v>45497</v>
      </c>
      <c r="B412" s="136"/>
      <c r="C412" s="136"/>
      <c r="D412" s="136"/>
      <c r="E412" s="136"/>
      <c r="F412" s="136"/>
      <c r="G412" s="136"/>
      <c r="H412" s="136"/>
      <c r="I412" s="136"/>
      <c r="J412" s="136"/>
      <c r="K412" s="136"/>
      <c r="L412" s="136"/>
      <c r="M412" s="136"/>
      <c r="N412" s="136"/>
      <c r="O412" s="136"/>
      <c r="P412" s="136"/>
      <c r="Q412" s="136"/>
      <c r="R412" s="136"/>
      <c r="S412" s="136"/>
      <c r="T412" s="136"/>
      <c r="U412" s="136"/>
      <c r="V412" s="136"/>
      <c r="W412" s="136"/>
      <c r="X412" s="136"/>
      <c r="Y412" s="136"/>
      <c r="Z412" s="136"/>
      <c r="AA412" s="136"/>
      <c r="AB412" s="136"/>
      <c r="AC412" s="136"/>
      <c r="AD412" s="136"/>
      <c r="AE412" s="353">
        <f t="shared" si="66"/>
        <v>0</v>
      </c>
      <c r="AF412" s="272" t="s">
        <v>710</v>
      </c>
      <c r="AG412" s="136"/>
      <c r="AH412" s="136"/>
      <c r="AI412" s="136"/>
    </row>
    <row r="413" spans="1:35" ht="18.75" customHeight="1" x14ac:dyDescent="0.3">
      <c r="A413" s="281">
        <v>45497</v>
      </c>
      <c r="B413" s="136"/>
      <c r="C413" s="136"/>
      <c r="D413" s="136"/>
      <c r="E413" s="136"/>
      <c r="F413" s="136"/>
      <c r="G413" s="136"/>
      <c r="H413" s="136"/>
      <c r="I413" s="136"/>
      <c r="J413" s="136"/>
      <c r="K413" s="136"/>
      <c r="L413" s="136"/>
      <c r="M413" s="136"/>
      <c r="N413" s="136"/>
      <c r="O413" s="136"/>
      <c r="P413" s="136"/>
      <c r="Q413" s="136"/>
      <c r="R413" s="136"/>
      <c r="S413" s="136"/>
      <c r="T413" s="136"/>
      <c r="U413" s="136"/>
      <c r="V413" s="136"/>
      <c r="W413" s="136"/>
      <c r="X413" s="136"/>
      <c r="Y413" s="136"/>
      <c r="Z413" s="136"/>
      <c r="AA413" s="136"/>
      <c r="AB413" s="136"/>
      <c r="AC413" s="136"/>
      <c r="AD413" s="136"/>
      <c r="AE413" s="353">
        <f t="shared" si="66"/>
        <v>0</v>
      </c>
      <c r="AF413" s="272" t="s">
        <v>711</v>
      </c>
      <c r="AG413" s="136"/>
      <c r="AH413" s="136"/>
      <c r="AI413" s="136"/>
    </row>
    <row r="414" spans="1:35" ht="18.75" customHeight="1" x14ac:dyDescent="0.3">
      <c r="A414" s="281">
        <v>45497</v>
      </c>
      <c r="B414" s="136"/>
      <c r="C414" s="136"/>
      <c r="D414" s="136"/>
      <c r="E414" s="136"/>
      <c r="F414" s="136"/>
      <c r="G414" s="136"/>
      <c r="H414" s="136"/>
      <c r="I414" s="136"/>
      <c r="J414" s="136"/>
      <c r="K414" s="136"/>
      <c r="L414" s="136"/>
      <c r="M414" s="136"/>
      <c r="N414" s="136"/>
      <c r="O414" s="136"/>
      <c r="P414" s="136"/>
      <c r="Q414" s="136"/>
      <c r="R414" s="136"/>
      <c r="S414" s="136"/>
      <c r="T414" s="136"/>
      <c r="U414" s="136"/>
      <c r="V414" s="136"/>
      <c r="W414" s="136"/>
      <c r="X414" s="136"/>
      <c r="Y414" s="136"/>
      <c r="Z414" s="136"/>
      <c r="AA414" s="136"/>
      <c r="AB414" s="136"/>
      <c r="AC414" s="136"/>
      <c r="AD414" s="136"/>
      <c r="AE414" s="353">
        <f t="shared" si="66"/>
        <v>0</v>
      </c>
      <c r="AF414" s="272" t="s">
        <v>712</v>
      </c>
      <c r="AG414" s="136"/>
      <c r="AH414" s="136"/>
      <c r="AI414" s="136"/>
    </row>
    <row r="415" spans="1:35" ht="18.75" customHeight="1" x14ac:dyDescent="0.3">
      <c r="A415" s="281">
        <v>45498</v>
      </c>
      <c r="B415" s="136"/>
      <c r="C415" s="136"/>
      <c r="D415" s="136"/>
      <c r="E415" s="136"/>
      <c r="F415" s="136"/>
      <c r="G415" s="136"/>
      <c r="H415" s="136"/>
      <c r="I415" s="136"/>
      <c r="J415" s="136"/>
      <c r="K415" s="136"/>
      <c r="L415" s="136"/>
      <c r="M415" s="136"/>
      <c r="N415" s="136"/>
      <c r="O415" s="136"/>
      <c r="P415" s="136"/>
      <c r="Q415" s="136"/>
      <c r="R415" s="136"/>
      <c r="S415" s="136"/>
      <c r="T415" s="136"/>
      <c r="U415" s="136"/>
      <c r="V415" s="136"/>
      <c r="W415" s="136"/>
      <c r="X415" s="136"/>
      <c r="Y415" s="136"/>
      <c r="Z415" s="136"/>
      <c r="AA415" s="136"/>
      <c r="AB415" s="136"/>
      <c r="AC415" s="136"/>
      <c r="AD415" s="136"/>
      <c r="AE415" s="353">
        <f t="shared" si="66"/>
        <v>0</v>
      </c>
      <c r="AF415" s="272" t="s">
        <v>713</v>
      </c>
      <c r="AG415" s="136"/>
      <c r="AH415" s="136"/>
      <c r="AI415" s="136"/>
    </row>
    <row r="416" spans="1:35" ht="18.75" customHeight="1" x14ac:dyDescent="0.3">
      <c r="A416" s="281">
        <v>45498</v>
      </c>
      <c r="B416" s="136"/>
      <c r="C416" s="136"/>
      <c r="D416" s="136"/>
      <c r="E416" s="136"/>
      <c r="F416" s="136"/>
      <c r="G416" s="136"/>
      <c r="H416" s="136"/>
      <c r="I416" s="136"/>
      <c r="J416" s="136"/>
      <c r="K416" s="136"/>
      <c r="L416" s="136"/>
      <c r="M416" s="136"/>
      <c r="N416" s="136"/>
      <c r="O416" s="136"/>
      <c r="P416" s="136"/>
      <c r="Q416" s="136"/>
      <c r="R416" s="136"/>
      <c r="S416" s="136"/>
      <c r="T416" s="136"/>
      <c r="U416" s="136"/>
      <c r="V416" s="136"/>
      <c r="W416" s="136"/>
      <c r="X416" s="136"/>
      <c r="Y416" s="136"/>
      <c r="Z416" s="136"/>
      <c r="AA416" s="136"/>
      <c r="AB416" s="136"/>
      <c r="AC416" s="136"/>
      <c r="AD416" s="136"/>
      <c r="AE416" s="353">
        <f t="shared" si="66"/>
        <v>0</v>
      </c>
      <c r="AF416" s="272" t="s">
        <v>714</v>
      </c>
      <c r="AG416" s="136"/>
      <c r="AH416" s="136"/>
      <c r="AI416" s="136"/>
    </row>
    <row r="417" spans="1:35" ht="18.75" customHeight="1" x14ac:dyDescent="0.3">
      <c r="A417" s="281">
        <v>45498</v>
      </c>
      <c r="B417" s="136"/>
      <c r="C417" s="136"/>
      <c r="D417" s="136"/>
      <c r="E417" s="136"/>
      <c r="F417" s="136"/>
      <c r="G417" s="136"/>
      <c r="H417" s="136"/>
      <c r="I417" s="136"/>
      <c r="J417" s="136"/>
      <c r="K417" s="136"/>
      <c r="L417" s="136"/>
      <c r="M417" s="136"/>
      <c r="N417" s="136"/>
      <c r="O417" s="136"/>
      <c r="P417" s="136"/>
      <c r="Q417" s="136"/>
      <c r="R417" s="136"/>
      <c r="S417" s="136"/>
      <c r="T417" s="136"/>
      <c r="U417" s="136"/>
      <c r="V417" s="136"/>
      <c r="W417" s="136"/>
      <c r="X417" s="136"/>
      <c r="Y417" s="136"/>
      <c r="Z417" s="136"/>
      <c r="AA417" s="136"/>
      <c r="AB417" s="136"/>
      <c r="AC417" s="136"/>
      <c r="AD417" s="136"/>
      <c r="AE417" s="353">
        <f t="shared" si="66"/>
        <v>0</v>
      </c>
      <c r="AF417" s="272" t="s">
        <v>715</v>
      </c>
      <c r="AG417" s="136"/>
      <c r="AH417" s="136"/>
      <c r="AI417" s="136"/>
    </row>
    <row r="418" spans="1:35" ht="18.75" customHeight="1" x14ac:dyDescent="0.3">
      <c r="A418" s="281">
        <v>45498</v>
      </c>
      <c r="B418" s="136"/>
      <c r="C418" s="136"/>
      <c r="D418" s="136"/>
      <c r="E418" s="136"/>
      <c r="F418" s="136"/>
      <c r="G418" s="136"/>
      <c r="H418" s="136"/>
      <c r="I418" s="136"/>
      <c r="J418" s="136"/>
      <c r="K418" s="136"/>
      <c r="L418" s="136"/>
      <c r="M418" s="136"/>
      <c r="N418" s="136"/>
      <c r="O418" s="136"/>
      <c r="P418" s="136"/>
      <c r="Q418" s="136"/>
      <c r="R418" s="136"/>
      <c r="S418" s="136"/>
      <c r="T418" s="136"/>
      <c r="U418" s="136"/>
      <c r="V418" s="136"/>
      <c r="W418" s="136"/>
      <c r="X418" s="136"/>
      <c r="Y418" s="136"/>
      <c r="Z418" s="136"/>
      <c r="AA418" s="136"/>
      <c r="AB418" s="136"/>
      <c r="AC418" s="136"/>
      <c r="AD418" s="136"/>
      <c r="AE418" s="353">
        <f t="shared" si="66"/>
        <v>0</v>
      </c>
      <c r="AF418" s="272" t="s">
        <v>716</v>
      </c>
      <c r="AG418" s="136"/>
      <c r="AH418" s="136"/>
      <c r="AI418" s="136"/>
    </row>
    <row r="419" spans="1:35" ht="18.75" customHeight="1" x14ac:dyDescent="0.3">
      <c r="A419" s="281">
        <v>45504</v>
      </c>
      <c r="B419" s="136"/>
      <c r="C419" s="136"/>
      <c r="D419" s="136"/>
      <c r="E419" s="136"/>
      <c r="F419" s="136"/>
      <c r="G419" s="136"/>
      <c r="H419" s="136"/>
      <c r="I419" s="136"/>
      <c r="J419" s="136"/>
      <c r="K419" s="136"/>
      <c r="L419" s="136"/>
      <c r="M419" s="136"/>
      <c r="N419" s="136"/>
      <c r="O419" s="136"/>
      <c r="P419" s="136"/>
      <c r="Q419" s="136"/>
      <c r="R419" s="136"/>
      <c r="S419" s="136"/>
      <c r="T419" s="136"/>
      <c r="U419" s="136"/>
      <c r="V419" s="136"/>
      <c r="W419" s="136"/>
      <c r="X419" s="136"/>
      <c r="Y419" s="136"/>
      <c r="Z419" s="136"/>
      <c r="AA419" s="136"/>
      <c r="AB419" s="136"/>
      <c r="AC419" s="136"/>
      <c r="AD419" s="136"/>
      <c r="AE419" s="353">
        <f t="shared" si="66"/>
        <v>0</v>
      </c>
      <c r="AF419" s="272" t="s">
        <v>717</v>
      </c>
      <c r="AG419" s="136"/>
      <c r="AH419" s="136"/>
      <c r="AI419" s="136"/>
    </row>
    <row r="420" spans="1:35" ht="18.75" customHeight="1" x14ac:dyDescent="0.3">
      <c r="A420" s="281">
        <v>45504</v>
      </c>
      <c r="B420" s="136"/>
      <c r="C420" s="136"/>
      <c r="D420" s="136"/>
      <c r="E420" s="136"/>
      <c r="F420" s="136"/>
      <c r="G420" s="136"/>
      <c r="H420" s="136"/>
      <c r="I420" s="136"/>
      <c r="J420" s="136"/>
      <c r="K420" s="136"/>
      <c r="L420" s="136"/>
      <c r="M420" s="136"/>
      <c r="N420" s="136"/>
      <c r="O420" s="136"/>
      <c r="P420" s="136"/>
      <c r="Q420" s="136"/>
      <c r="R420" s="136"/>
      <c r="S420" s="136"/>
      <c r="T420" s="136"/>
      <c r="U420" s="136"/>
      <c r="V420" s="136"/>
      <c r="W420" s="136"/>
      <c r="X420" s="136"/>
      <c r="Y420" s="136"/>
      <c r="Z420" s="136"/>
      <c r="AA420" s="136"/>
      <c r="AB420" s="136"/>
      <c r="AC420" s="136"/>
      <c r="AD420" s="136"/>
      <c r="AE420" s="353">
        <f t="shared" si="66"/>
        <v>0</v>
      </c>
      <c r="AF420" s="272" t="s">
        <v>718</v>
      </c>
      <c r="AG420" s="136"/>
      <c r="AH420" s="136"/>
      <c r="AI420" s="136"/>
    </row>
    <row r="421" spans="1:35" ht="18.75" customHeight="1" x14ac:dyDescent="0.3">
      <c r="A421" s="281">
        <v>45504</v>
      </c>
      <c r="B421" s="136"/>
      <c r="C421" s="136"/>
      <c r="D421" s="136"/>
      <c r="E421" s="136"/>
      <c r="F421" s="136"/>
      <c r="G421" s="136"/>
      <c r="H421" s="136"/>
      <c r="I421" s="136"/>
      <c r="J421" s="136"/>
      <c r="K421" s="136"/>
      <c r="L421" s="136"/>
      <c r="M421" s="136"/>
      <c r="N421" s="136"/>
      <c r="O421" s="136"/>
      <c r="P421" s="136"/>
      <c r="Q421" s="136"/>
      <c r="R421" s="136"/>
      <c r="S421" s="136"/>
      <c r="T421" s="136"/>
      <c r="U421" s="136"/>
      <c r="V421" s="136"/>
      <c r="W421" s="136"/>
      <c r="X421" s="136"/>
      <c r="Y421" s="136"/>
      <c r="Z421" s="136"/>
      <c r="AA421" s="136"/>
      <c r="AB421" s="136"/>
      <c r="AC421" s="136"/>
      <c r="AD421" s="136"/>
      <c r="AE421" s="353">
        <f t="shared" si="66"/>
        <v>0</v>
      </c>
      <c r="AF421" s="272" t="s">
        <v>719</v>
      </c>
      <c r="AG421" s="136"/>
      <c r="AH421" s="136"/>
      <c r="AI421" s="136"/>
    </row>
    <row r="422" spans="1:35" ht="18.75" customHeight="1" x14ac:dyDescent="0.3">
      <c r="A422" s="281">
        <v>45358</v>
      </c>
      <c r="B422" s="136"/>
      <c r="C422" s="136"/>
      <c r="D422" s="136"/>
      <c r="E422" s="136"/>
      <c r="F422" s="136"/>
      <c r="G422" s="136"/>
      <c r="H422" s="136"/>
      <c r="I422" s="136"/>
      <c r="J422" s="136"/>
      <c r="K422" s="136"/>
      <c r="L422" s="136"/>
      <c r="M422" s="354"/>
      <c r="N422" s="136"/>
      <c r="O422" s="136"/>
      <c r="P422" s="136"/>
      <c r="Q422" s="136"/>
      <c r="R422" s="136"/>
      <c r="S422" s="136"/>
      <c r="T422" s="136"/>
      <c r="U422" s="136"/>
      <c r="V422" s="136"/>
      <c r="W422" s="136"/>
      <c r="X422" s="136"/>
      <c r="Y422" s="136"/>
      <c r="Z422" s="136"/>
      <c r="AA422" s="136"/>
      <c r="AB422" s="136"/>
      <c r="AC422" s="136"/>
      <c r="AD422" s="136"/>
      <c r="AE422" s="145">
        <f t="shared" si="66"/>
        <v>0</v>
      </c>
      <c r="AF422" s="1228" t="s">
        <v>322</v>
      </c>
      <c r="AG422" s="1198"/>
      <c r="AH422" s="1198"/>
      <c r="AI422" s="1198"/>
    </row>
    <row r="423" spans="1:35" ht="18.75" customHeight="1" x14ac:dyDescent="0.3">
      <c r="A423" s="281"/>
      <c r="B423" s="136"/>
      <c r="C423" s="136"/>
      <c r="D423" s="136"/>
      <c r="E423" s="136"/>
      <c r="F423" s="136"/>
      <c r="G423" s="136"/>
      <c r="H423" s="136"/>
      <c r="I423" s="136"/>
      <c r="J423" s="136"/>
      <c r="K423" s="136"/>
      <c r="L423" s="136"/>
      <c r="M423" s="136"/>
      <c r="N423" s="136"/>
      <c r="O423" s="136"/>
      <c r="P423" s="136"/>
      <c r="Q423" s="136"/>
      <c r="R423" s="136"/>
      <c r="S423" s="136"/>
      <c r="T423" s="136"/>
      <c r="U423" s="136"/>
      <c r="V423" s="136"/>
      <c r="W423" s="136"/>
      <c r="X423" s="136"/>
      <c r="Y423" s="136"/>
      <c r="Z423" s="136"/>
      <c r="AA423" s="136"/>
      <c r="AB423" s="136"/>
      <c r="AC423" s="136"/>
      <c r="AD423" s="136"/>
      <c r="AE423" s="145">
        <f t="shared" si="66"/>
        <v>0</v>
      </c>
      <c r="AF423" s="272"/>
      <c r="AG423" s="136"/>
      <c r="AH423" s="136"/>
      <c r="AI423" s="136"/>
    </row>
    <row r="424" spans="1:35" ht="18.75" customHeight="1" x14ac:dyDescent="0.3">
      <c r="A424" s="287" t="s">
        <v>249</v>
      </c>
      <c r="B424" s="279">
        <f t="shared" ref="B424:AD424" si="67">SUM(B385:B423)</f>
        <v>0</v>
      </c>
      <c r="C424" s="279">
        <f t="shared" si="67"/>
        <v>0</v>
      </c>
      <c r="D424" s="279">
        <f t="shared" si="67"/>
        <v>0</v>
      </c>
      <c r="E424" s="279">
        <f t="shared" si="67"/>
        <v>0</v>
      </c>
      <c r="F424" s="279">
        <f t="shared" si="67"/>
        <v>0</v>
      </c>
      <c r="G424" s="279">
        <f t="shared" si="67"/>
        <v>0</v>
      </c>
      <c r="H424" s="279">
        <f t="shared" si="67"/>
        <v>0</v>
      </c>
      <c r="I424" s="279">
        <f t="shared" si="67"/>
        <v>0</v>
      </c>
      <c r="J424" s="279">
        <f t="shared" si="67"/>
        <v>0</v>
      </c>
      <c r="K424" s="279">
        <f t="shared" si="67"/>
        <v>0</v>
      </c>
      <c r="L424" s="279">
        <f t="shared" si="67"/>
        <v>0</v>
      </c>
      <c r="M424" s="279">
        <f t="shared" si="67"/>
        <v>0</v>
      </c>
      <c r="N424" s="279">
        <f t="shared" si="67"/>
        <v>0</v>
      </c>
      <c r="O424" s="279">
        <f t="shared" si="67"/>
        <v>0</v>
      </c>
      <c r="P424" s="279">
        <f t="shared" si="67"/>
        <v>0</v>
      </c>
      <c r="Q424" s="279">
        <f t="shared" si="67"/>
        <v>0</v>
      </c>
      <c r="R424" s="279">
        <f t="shared" si="67"/>
        <v>0</v>
      </c>
      <c r="S424" s="279">
        <f t="shared" si="67"/>
        <v>0</v>
      </c>
      <c r="T424" s="279">
        <f t="shared" si="67"/>
        <v>0</v>
      </c>
      <c r="U424" s="279">
        <f t="shared" si="67"/>
        <v>0</v>
      </c>
      <c r="V424" s="279">
        <f t="shared" si="67"/>
        <v>0</v>
      </c>
      <c r="W424" s="279">
        <f t="shared" si="67"/>
        <v>0</v>
      </c>
      <c r="X424" s="279">
        <f t="shared" si="67"/>
        <v>0</v>
      </c>
      <c r="Y424" s="279">
        <f t="shared" si="67"/>
        <v>0</v>
      </c>
      <c r="Z424" s="279">
        <f t="shared" ref="Z424:AA424" si="68">SUM(Z385:Z423)</f>
        <v>0</v>
      </c>
      <c r="AA424" s="279">
        <f t="shared" si="68"/>
        <v>0</v>
      </c>
      <c r="AB424" s="279">
        <f t="shared" si="67"/>
        <v>0</v>
      </c>
      <c r="AC424" s="279">
        <f t="shared" si="67"/>
        <v>0</v>
      </c>
      <c r="AD424" s="279">
        <f t="shared" si="67"/>
        <v>0</v>
      </c>
      <c r="AE424" s="280">
        <f t="shared" si="66"/>
        <v>0</v>
      </c>
      <c r="AF424" s="339"/>
      <c r="AG424" s="340"/>
      <c r="AH424" s="340"/>
      <c r="AI424" s="340"/>
    </row>
    <row r="425" spans="1:35" ht="18.75" customHeight="1" x14ac:dyDescent="0.3">
      <c r="A425" s="287" t="s">
        <v>250</v>
      </c>
      <c r="B425" s="279">
        <f t="shared" ref="B425:AD425" si="69">SUM(B383+B424)</f>
        <v>51061.2</v>
      </c>
      <c r="C425" s="279">
        <f t="shared" si="69"/>
        <v>104149.33</v>
      </c>
      <c r="D425" s="279">
        <f t="shared" si="69"/>
        <v>3500</v>
      </c>
      <c r="E425" s="279">
        <f t="shared" si="69"/>
        <v>0</v>
      </c>
      <c r="F425" s="279">
        <f t="shared" si="69"/>
        <v>0</v>
      </c>
      <c r="G425" s="279">
        <f t="shared" si="69"/>
        <v>2600</v>
      </c>
      <c r="H425" s="279">
        <f t="shared" si="69"/>
        <v>0</v>
      </c>
      <c r="I425" s="279">
        <f t="shared" si="69"/>
        <v>49458</v>
      </c>
      <c r="J425" s="279">
        <f t="shared" si="69"/>
        <v>320434.92000000004</v>
      </c>
      <c r="K425" s="279">
        <f t="shared" si="69"/>
        <v>15200</v>
      </c>
      <c r="L425" s="279">
        <f t="shared" si="69"/>
        <v>66867</v>
      </c>
      <c r="M425" s="279">
        <f t="shared" si="69"/>
        <v>41505</v>
      </c>
      <c r="N425" s="279">
        <f t="shared" si="69"/>
        <v>0</v>
      </c>
      <c r="O425" s="279">
        <f t="shared" si="69"/>
        <v>0</v>
      </c>
      <c r="P425" s="279">
        <f t="shared" si="69"/>
        <v>0</v>
      </c>
      <c r="Q425" s="279">
        <f t="shared" si="69"/>
        <v>53499</v>
      </c>
      <c r="R425" s="279">
        <f t="shared" si="69"/>
        <v>27285</v>
      </c>
      <c r="S425" s="279">
        <f t="shared" si="69"/>
        <v>0</v>
      </c>
      <c r="T425" s="279">
        <f t="shared" si="69"/>
        <v>39162</v>
      </c>
      <c r="U425" s="279">
        <f t="shared" si="69"/>
        <v>270000</v>
      </c>
      <c r="V425" s="279">
        <f t="shared" si="69"/>
        <v>0</v>
      </c>
      <c r="W425" s="279">
        <f t="shared" si="69"/>
        <v>24824</v>
      </c>
      <c r="X425" s="279">
        <f t="shared" si="69"/>
        <v>75836.25</v>
      </c>
      <c r="Y425" s="279">
        <f t="shared" si="69"/>
        <v>0</v>
      </c>
      <c r="Z425" s="279">
        <f t="shared" ref="Z425:AA425" si="70">SUM(Z383+Z424)</f>
        <v>0</v>
      </c>
      <c r="AA425" s="279">
        <f t="shared" si="70"/>
        <v>0</v>
      </c>
      <c r="AB425" s="279">
        <f t="shared" si="69"/>
        <v>83280.240000000005</v>
      </c>
      <c r="AC425" s="279">
        <f t="shared" si="69"/>
        <v>131660.71</v>
      </c>
      <c r="AD425" s="279">
        <f t="shared" si="69"/>
        <v>0</v>
      </c>
      <c r="AE425" s="280">
        <f t="shared" si="66"/>
        <v>1360322.6500000001</v>
      </c>
      <c r="AF425" s="308"/>
      <c r="AG425" s="195"/>
      <c r="AH425" s="195"/>
      <c r="AI425" s="195"/>
    </row>
    <row r="426" spans="1:35" ht="18.75" customHeight="1" x14ac:dyDescent="0.3">
      <c r="A426" s="287" t="s">
        <v>251</v>
      </c>
      <c r="B426" s="279">
        <f t="shared" ref="B426:AD426" si="71">SUM(B384-B424)</f>
        <v>515738.8</v>
      </c>
      <c r="C426" s="279">
        <f t="shared" si="71"/>
        <v>45850.669999999991</v>
      </c>
      <c r="D426" s="279">
        <f t="shared" si="71"/>
        <v>324500</v>
      </c>
      <c r="E426" s="279">
        <f t="shared" si="71"/>
        <v>0</v>
      </c>
      <c r="F426" s="279">
        <f t="shared" si="71"/>
        <v>0</v>
      </c>
      <c r="G426" s="279">
        <f t="shared" si="71"/>
        <v>-2600</v>
      </c>
      <c r="H426" s="279">
        <f t="shared" si="71"/>
        <v>0</v>
      </c>
      <c r="I426" s="279">
        <f t="shared" si="71"/>
        <v>198442</v>
      </c>
      <c r="J426" s="279">
        <f t="shared" si="71"/>
        <v>-320434.92000000004</v>
      </c>
      <c r="K426" s="279">
        <f t="shared" si="71"/>
        <v>-15200</v>
      </c>
      <c r="L426" s="279">
        <f t="shared" si="71"/>
        <v>183133</v>
      </c>
      <c r="M426" s="279">
        <f t="shared" si="71"/>
        <v>98495</v>
      </c>
      <c r="N426" s="279">
        <f t="shared" si="71"/>
        <v>0</v>
      </c>
      <c r="O426" s="279">
        <f t="shared" si="71"/>
        <v>0</v>
      </c>
      <c r="P426" s="279">
        <f t="shared" si="71"/>
        <v>0</v>
      </c>
      <c r="Q426" s="279">
        <f t="shared" si="71"/>
        <v>160501</v>
      </c>
      <c r="R426" s="279">
        <f t="shared" si="71"/>
        <v>361660</v>
      </c>
      <c r="S426" s="279">
        <f t="shared" si="71"/>
        <v>74900</v>
      </c>
      <c r="T426" s="279">
        <f t="shared" si="71"/>
        <v>1154497</v>
      </c>
      <c r="U426" s="279">
        <f t="shared" si="71"/>
        <v>1234800</v>
      </c>
      <c r="V426" s="279">
        <f t="shared" si="71"/>
        <v>189600</v>
      </c>
      <c r="W426" s="279">
        <f t="shared" si="71"/>
        <v>74472</v>
      </c>
      <c r="X426" s="279">
        <f t="shared" si="71"/>
        <v>84163.75</v>
      </c>
      <c r="Y426" s="279">
        <f t="shared" si="71"/>
        <v>8500000</v>
      </c>
      <c r="Z426" s="279">
        <f t="shared" ref="Z426:AA426" si="72">SUM(Z384-Z424)</f>
        <v>716400</v>
      </c>
      <c r="AA426" s="279">
        <f t="shared" si="72"/>
        <v>1113800</v>
      </c>
      <c r="AB426" s="279">
        <f t="shared" si="71"/>
        <v>91519.75999999998</v>
      </c>
      <c r="AC426" s="279">
        <f t="shared" si="71"/>
        <v>66339.290000000008</v>
      </c>
      <c r="AD426" s="279">
        <f t="shared" si="71"/>
        <v>0</v>
      </c>
      <c r="AE426" s="280">
        <f t="shared" si="66"/>
        <v>14850577.35</v>
      </c>
      <c r="AF426" s="308"/>
      <c r="AG426" s="195"/>
      <c r="AH426" s="195"/>
      <c r="AI426" s="195"/>
    </row>
    <row r="427" spans="1:35" ht="18.75" customHeight="1" x14ac:dyDescent="0.3">
      <c r="A427" s="284" t="s">
        <v>252</v>
      </c>
      <c r="B427" s="136"/>
      <c r="C427" s="136"/>
      <c r="D427" s="136"/>
      <c r="E427" s="136"/>
      <c r="F427" s="136"/>
      <c r="G427" s="136"/>
      <c r="H427" s="136"/>
      <c r="I427" s="136"/>
      <c r="J427" s="136"/>
      <c r="K427" s="136"/>
      <c r="L427" s="136"/>
      <c r="M427" s="136"/>
      <c r="N427" s="136"/>
      <c r="O427" s="136"/>
      <c r="P427" s="136"/>
      <c r="Q427" s="136"/>
      <c r="R427" s="136"/>
      <c r="S427" s="136"/>
      <c r="T427" s="136"/>
      <c r="U427" s="136"/>
      <c r="V427" s="136"/>
      <c r="W427" s="136"/>
      <c r="X427" s="136"/>
      <c r="Y427" s="136"/>
      <c r="Z427" s="136"/>
      <c r="AA427" s="136"/>
      <c r="AB427" s="136"/>
      <c r="AC427" s="136"/>
      <c r="AD427" s="136"/>
      <c r="AE427" s="145"/>
      <c r="AF427" s="272"/>
      <c r="AG427" s="136"/>
      <c r="AH427" s="136"/>
      <c r="AI427" s="136"/>
    </row>
    <row r="428" spans="1:35" ht="18.75" customHeight="1" x14ac:dyDescent="0.3">
      <c r="A428" s="281">
        <v>45505</v>
      </c>
      <c r="B428" s="136"/>
      <c r="C428" s="136"/>
      <c r="D428" s="136"/>
      <c r="E428" s="136"/>
      <c r="F428" s="136"/>
      <c r="G428" s="136"/>
      <c r="H428" s="136"/>
      <c r="I428" s="136"/>
      <c r="J428" s="136"/>
      <c r="K428" s="136"/>
      <c r="L428" s="136"/>
      <c r="M428" s="136"/>
      <c r="N428" s="136"/>
      <c r="O428" s="136"/>
      <c r="P428" s="136"/>
      <c r="Q428" s="136"/>
      <c r="R428" s="136"/>
      <c r="S428" s="136"/>
      <c r="T428" s="136"/>
      <c r="U428" s="136"/>
      <c r="V428" s="136"/>
      <c r="W428" s="136"/>
      <c r="X428" s="136"/>
      <c r="Y428" s="136"/>
      <c r="Z428" s="136"/>
      <c r="AA428" s="136"/>
      <c r="AB428" s="136"/>
      <c r="AC428" s="136"/>
      <c r="AD428" s="136"/>
      <c r="AE428" s="355">
        <f t="shared" ref="AE428:AE459" si="73">SUM(B428:AD428)</f>
        <v>0</v>
      </c>
      <c r="AF428" s="272" t="s">
        <v>720</v>
      </c>
      <c r="AG428" s="136"/>
      <c r="AH428" s="136"/>
      <c r="AI428" s="136"/>
    </row>
    <row r="429" spans="1:35" ht="18.75" customHeight="1" x14ac:dyDescent="0.3">
      <c r="A429" s="281">
        <v>45505</v>
      </c>
      <c r="B429" s="136"/>
      <c r="C429" s="136"/>
      <c r="D429" s="136"/>
      <c r="E429" s="136"/>
      <c r="F429" s="136"/>
      <c r="G429" s="136"/>
      <c r="H429" s="136"/>
      <c r="I429" s="136"/>
      <c r="J429" s="136"/>
      <c r="K429" s="136"/>
      <c r="L429" s="136"/>
      <c r="M429" s="136"/>
      <c r="N429" s="136"/>
      <c r="O429" s="136"/>
      <c r="P429" s="136"/>
      <c r="Q429" s="136"/>
      <c r="R429" s="136"/>
      <c r="S429" s="136"/>
      <c r="T429" s="136"/>
      <c r="U429" s="136"/>
      <c r="V429" s="136"/>
      <c r="W429" s="136"/>
      <c r="X429" s="136"/>
      <c r="Y429" s="136"/>
      <c r="Z429" s="136"/>
      <c r="AA429" s="136"/>
      <c r="AB429" s="136"/>
      <c r="AC429" s="136"/>
      <c r="AD429" s="136"/>
      <c r="AE429" s="355">
        <f t="shared" si="73"/>
        <v>0</v>
      </c>
      <c r="AF429" s="272" t="s">
        <v>721</v>
      </c>
      <c r="AG429" s="136"/>
      <c r="AH429" s="136"/>
      <c r="AI429" s="136"/>
    </row>
    <row r="430" spans="1:35" ht="18.75" customHeight="1" x14ac:dyDescent="0.3">
      <c r="A430" s="281">
        <v>45505</v>
      </c>
      <c r="B430" s="136"/>
      <c r="C430" s="136"/>
      <c r="D430" s="136"/>
      <c r="E430" s="136"/>
      <c r="F430" s="136"/>
      <c r="G430" s="136"/>
      <c r="H430" s="136"/>
      <c r="I430" s="136"/>
      <c r="J430" s="136"/>
      <c r="K430" s="136"/>
      <c r="L430" s="136"/>
      <c r="M430" s="136"/>
      <c r="N430" s="136"/>
      <c r="O430" s="136"/>
      <c r="P430" s="136"/>
      <c r="Q430" s="136"/>
      <c r="R430" s="136"/>
      <c r="S430" s="136"/>
      <c r="T430" s="136"/>
      <c r="U430" s="136"/>
      <c r="V430" s="136"/>
      <c r="W430" s="136"/>
      <c r="X430" s="136"/>
      <c r="Y430" s="136"/>
      <c r="Z430" s="136"/>
      <c r="AA430" s="136"/>
      <c r="AB430" s="136"/>
      <c r="AC430" s="136"/>
      <c r="AD430" s="136"/>
      <c r="AE430" s="355">
        <f t="shared" si="73"/>
        <v>0</v>
      </c>
      <c r="AF430" s="272" t="s">
        <v>722</v>
      </c>
      <c r="AG430" s="136"/>
      <c r="AH430" s="136"/>
      <c r="AI430" s="136"/>
    </row>
    <row r="431" spans="1:35" ht="18.75" customHeight="1" x14ac:dyDescent="0.3">
      <c r="A431" s="281">
        <v>45505</v>
      </c>
      <c r="B431" s="136"/>
      <c r="C431" s="136"/>
      <c r="D431" s="136"/>
      <c r="E431" s="136"/>
      <c r="F431" s="136"/>
      <c r="G431" s="136"/>
      <c r="H431" s="136"/>
      <c r="I431" s="136"/>
      <c r="J431" s="136"/>
      <c r="K431" s="136"/>
      <c r="L431" s="136"/>
      <c r="M431" s="136"/>
      <c r="N431" s="136"/>
      <c r="O431" s="136"/>
      <c r="P431" s="136"/>
      <c r="Q431" s="136"/>
      <c r="R431" s="136"/>
      <c r="S431" s="136"/>
      <c r="T431" s="136"/>
      <c r="U431" s="136"/>
      <c r="V431" s="136"/>
      <c r="W431" s="136"/>
      <c r="X431" s="136"/>
      <c r="Y431" s="136"/>
      <c r="Z431" s="136"/>
      <c r="AA431" s="136"/>
      <c r="AB431" s="136"/>
      <c r="AC431" s="136"/>
      <c r="AD431" s="136"/>
      <c r="AE431" s="355">
        <f t="shared" si="73"/>
        <v>0</v>
      </c>
      <c r="AF431" s="272" t="s">
        <v>723</v>
      </c>
      <c r="AG431" s="136"/>
      <c r="AH431" s="136"/>
      <c r="AI431" s="136"/>
    </row>
    <row r="432" spans="1:35" ht="18.75" customHeight="1" x14ac:dyDescent="0.3">
      <c r="A432" s="281">
        <v>45506</v>
      </c>
      <c r="B432" s="136"/>
      <c r="C432" s="136"/>
      <c r="D432" s="136"/>
      <c r="E432" s="136"/>
      <c r="F432" s="136"/>
      <c r="G432" s="136"/>
      <c r="H432" s="136"/>
      <c r="I432" s="136"/>
      <c r="J432" s="136"/>
      <c r="K432" s="136"/>
      <c r="L432" s="136"/>
      <c r="M432" s="136"/>
      <c r="N432" s="136"/>
      <c r="O432" s="136"/>
      <c r="P432" s="136"/>
      <c r="Q432" s="136"/>
      <c r="R432" s="136"/>
      <c r="S432" s="136"/>
      <c r="T432" s="136"/>
      <c r="U432" s="136"/>
      <c r="V432" s="136"/>
      <c r="W432" s="136"/>
      <c r="X432" s="136"/>
      <c r="Y432" s="136"/>
      <c r="Z432" s="136"/>
      <c r="AA432" s="136"/>
      <c r="AB432" s="136"/>
      <c r="AC432" s="136"/>
      <c r="AD432" s="136"/>
      <c r="AE432" s="355">
        <f t="shared" si="73"/>
        <v>0</v>
      </c>
      <c r="AF432" s="272" t="s">
        <v>724</v>
      </c>
      <c r="AG432" s="136"/>
      <c r="AH432" s="136"/>
      <c r="AI432" s="136"/>
    </row>
    <row r="433" spans="1:35" ht="18.75" customHeight="1" x14ac:dyDescent="0.3">
      <c r="A433" s="281">
        <v>45506</v>
      </c>
      <c r="B433" s="136"/>
      <c r="C433" s="136"/>
      <c r="D433" s="136"/>
      <c r="E433" s="136"/>
      <c r="F433" s="136"/>
      <c r="G433" s="136"/>
      <c r="H433" s="136"/>
      <c r="I433" s="136"/>
      <c r="J433" s="136"/>
      <c r="K433" s="136"/>
      <c r="L433" s="136"/>
      <c r="M433" s="136"/>
      <c r="N433" s="136"/>
      <c r="O433" s="136"/>
      <c r="P433" s="136"/>
      <c r="Q433" s="136"/>
      <c r="R433" s="136"/>
      <c r="S433" s="136"/>
      <c r="T433" s="136"/>
      <c r="U433" s="136"/>
      <c r="V433" s="136"/>
      <c r="W433" s="136"/>
      <c r="X433" s="136"/>
      <c r="Y433" s="136"/>
      <c r="Z433" s="136"/>
      <c r="AA433" s="136"/>
      <c r="AB433" s="136"/>
      <c r="AC433" s="136"/>
      <c r="AD433" s="136"/>
      <c r="AE433" s="355">
        <f t="shared" si="73"/>
        <v>0</v>
      </c>
      <c r="AF433" s="356" t="s">
        <v>725</v>
      </c>
      <c r="AG433" s="138"/>
      <c r="AH433" s="138"/>
      <c r="AI433" s="138"/>
    </row>
    <row r="434" spans="1:35" ht="18.75" customHeight="1" x14ac:dyDescent="0.3">
      <c r="A434" s="281">
        <v>45509</v>
      </c>
      <c r="B434" s="136"/>
      <c r="C434" s="136"/>
      <c r="D434" s="136"/>
      <c r="E434" s="136"/>
      <c r="F434" s="136"/>
      <c r="G434" s="136"/>
      <c r="H434" s="136"/>
      <c r="I434" s="136"/>
      <c r="J434" s="136"/>
      <c r="K434" s="136"/>
      <c r="L434" s="136"/>
      <c r="M434" s="136"/>
      <c r="N434" s="136"/>
      <c r="O434" s="136"/>
      <c r="P434" s="136"/>
      <c r="Q434" s="136"/>
      <c r="R434" s="136"/>
      <c r="S434" s="136"/>
      <c r="T434" s="136"/>
      <c r="U434" s="136"/>
      <c r="V434" s="136"/>
      <c r="W434" s="136"/>
      <c r="X434" s="136"/>
      <c r="Y434" s="136"/>
      <c r="Z434" s="136"/>
      <c r="AA434" s="136"/>
      <c r="AB434" s="136"/>
      <c r="AC434" s="136"/>
      <c r="AD434" s="136"/>
      <c r="AE434" s="355">
        <f t="shared" si="73"/>
        <v>0</v>
      </c>
      <c r="AF434" s="356" t="s">
        <v>726</v>
      </c>
      <c r="AG434" s="138"/>
      <c r="AH434" s="138"/>
      <c r="AI434" s="138"/>
    </row>
    <row r="435" spans="1:35" ht="18.75" customHeight="1" x14ac:dyDescent="0.3">
      <c r="A435" s="281">
        <v>45509</v>
      </c>
      <c r="B435" s="136"/>
      <c r="C435" s="136"/>
      <c r="D435" s="136"/>
      <c r="E435" s="136"/>
      <c r="F435" s="136"/>
      <c r="G435" s="136"/>
      <c r="H435" s="136"/>
      <c r="I435" s="136"/>
      <c r="J435" s="136"/>
      <c r="K435" s="136"/>
      <c r="L435" s="136"/>
      <c r="M435" s="136"/>
      <c r="N435" s="136"/>
      <c r="O435" s="136"/>
      <c r="P435" s="136"/>
      <c r="Q435" s="136"/>
      <c r="R435" s="136"/>
      <c r="S435" s="136"/>
      <c r="T435" s="136"/>
      <c r="U435" s="136"/>
      <c r="V435" s="136"/>
      <c r="W435" s="136"/>
      <c r="X435" s="136"/>
      <c r="Y435" s="136"/>
      <c r="Z435" s="136"/>
      <c r="AA435" s="136"/>
      <c r="AB435" s="136"/>
      <c r="AC435" s="136"/>
      <c r="AD435" s="136"/>
      <c r="AE435" s="355">
        <f t="shared" si="73"/>
        <v>0</v>
      </c>
      <c r="AF435" s="272" t="s">
        <v>727</v>
      </c>
      <c r="AG435" s="136"/>
      <c r="AH435" s="136"/>
      <c r="AI435" s="136"/>
    </row>
    <row r="436" spans="1:35" ht="18.75" customHeight="1" x14ac:dyDescent="0.3">
      <c r="A436" s="281">
        <v>45509</v>
      </c>
      <c r="B436" s="136"/>
      <c r="C436" s="136"/>
      <c r="D436" s="136"/>
      <c r="E436" s="136"/>
      <c r="F436" s="136"/>
      <c r="G436" s="136"/>
      <c r="H436" s="136"/>
      <c r="I436" s="136"/>
      <c r="J436" s="136"/>
      <c r="K436" s="136"/>
      <c r="L436" s="136"/>
      <c r="M436" s="136"/>
      <c r="N436" s="136"/>
      <c r="O436" s="136"/>
      <c r="P436" s="136"/>
      <c r="Q436" s="136"/>
      <c r="R436" s="136"/>
      <c r="S436" s="136"/>
      <c r="T436" s="136"/>
      <c r="U436" s="136"/>
      <c r="V436" s="136"/>
      <c r="W436" s="136"/>
      <c r="X436" s="136"/>
      <c r="Y436" s="136"/>
      <c r="Z436" s="136"/>
      <c r="AA436" s="136"/>
      <c r="AB436" s="136"/>
      <c r="AC436" s="136"/>
      <c r="AD436" s="136"/>
      <c r="AE436" s="355">
        <f t="shared" si="73"/>
        <v>0</v>
      </c>
      <c r="AF436" s="272" t="s">
        <v>728</v>
      </c>
      <c r="AG436" s="136"/>
      <c r="AH436" s="136"/>
      <c r="AI436" s="136"/>
    </row>
    <row r="437" spans="1:35" ht="18.75" customHeight="1" x14ac:dyDescent="0.3">
      <c r="A437" s="281">
        <v>45509</v>
      </c>
      <c r="B437" s="136"/>
      <c r="C437" s="136"/>
      <c r="D437" s="136"/>
      <c r="E437" s="136"/>
      <c r="F437" s="136"/>
      <c r="G437" s="136"/>
      <c r="H437" s="136"/>
      <c r="I437" s="136"/>
      <c r="J437" s="136"/>
      <c r="K437" s="136"/>
      <c r="L437" s="136"/>
      <c r="M437" s="136"/>
      <c r="N437" s="136"/>
      <c r="O437" s="136"/>
      <c r="P437" s="136"/>
      <c r="Q437" s="136"/>
      <c r="R437" s="136"/>
      <c r="S437" s="136"/>
      <c r="T437" s="136"/>
      <c r="U437" s="136"/>
      <c r="V437" s="136"/>
      <c r="W437" s="136"/>
      <c r="X437" s="136"/>
      <c r="Y437" s="136"/>
      <c r="Z437" s="136"/>
      <c r="AA437" s="136"/>
      <c r="AB437" s="136"/>
      <c r="AC437" s="136"/>
      <c r="AD437" s="136"/>
      <c r="AE437" s="355">
        <f t="shared" si="73"/>
        <v>0</v>
      </c>
      <c r="AF437" s="272" t="s">
        <v>729</v>
      </c>
      <c r="AG437" s="136"/>
      <c r="AH437" s="136"/>
      <c r="AI437" s="136"/>
    </row>
    <row r="438" spans="1:35" ht="18.75" customHeight="1" x14ac:dyDescent="0.3">
      <c r="A438" s="281">
        <v>45509</v>
      </c>
      <c r="B438" s="136"/>
      <c r="C438" s="136"/>
      <c r="D438" s="136"/>
      <c r="E438" s="136"/>
      <c r="F438" s="136"/>
      <c r="G438" s="136"/>
      <c r="H438" s="136"/>
      <c r="I438" s="136"/>
      <c r="J438" s="136"/>
      <c r="K438" s="136"/>
      <c r="L438" s="136"/>
      <c r="M438" s="136"/>
      <c r="N438" s="136"/>
      <c r="O438" s="136"/>
      <c r="P438" s="136"/>
      <c r="Q438" s="136"/>
      <c r="R438" s="136"/>
      <c r="S438" s="136"/>
      <c r="T438" s="136"/>
      <c r="U438" s="136"/>
      <c r="V438" s="136"/>
      <c r="W438" s="136"/>
      <c r="X438" s="136"/>
      <c r="Y438" s="136"/>
      <c r="Z438" s="136"/>
      <c r="AA438" s="136"/>
      <c r="AB438" s="136"/>
      <c r="AC438" s="136"/>
      <c r="AD438" s="136"/>
      <c r="AE438" s="355">
        <f t="shared" si="73"/>
        <v>0</v>
      </c>
      <c r="AF438" s="272" t="s">
        <v>730</v>
      </c>
      <c r="AG438" s="136"/>
      <c r="AH438" s="136"/>
      <c r="AI438" s="136"/>
    </row>
    <row r="439" spans="1:35" ht="18.75" customHeight="1" x14ac:dyDescent="0.3">
      <c r="A439" s="281">
        <v>45509</v>
      </c>
      <c r="B439" s="136"/>
      <c r="C439" s="136"/>
      <c r="D439" s="136"/>
      <c r="E439" s="136"/>
      <c r="F439" s="136"/>
      <c r="G439" s="136"/>
      <c r="H439" s="136"/>
      <c r="I439" s="136"/>
      <c r="J439" s="136"/>
      <c r="K439" s="136"/>
      <c r="L439" s="136"/>
      <c r="M439" s="136"/>
      <c r="N439" s="136"/>
      <c r="O439" s="136"/>
      <c r="P439" s="136"/>
      <c r="Q439" s="136"/>
      <c r="R439" s="136"/>
      <c r="S439" s="136"/>
      <c r="T439" s="136"/>
      <c r="U439" s="136"/>
      <c r="V439" s="136"/>
      <c r="W439" s="136"/>
      <c r="X439" s="136"/>
      <c r="Y439" s="136"/>
      <c r="Z439" s="136"/>
      <c r="AA439" s="136"/>
      <c r="AB439" s="136"/>
      <c r="AC439" s="136"/>
      <c r="AD439" s="136"/>
      <c r="AE439" s="355">
        <f t="shared" si="73"/>
        <v>0</v>
      </c>
      <c r="AF439" s="272" t="s">
        <v>731</v>
      </c>
      <c r="AG439" s="136"/>
      <c r="AH439" s="136"/>
      <c r="AI439" s="136"/>
    </row>
    <row r="440" spans="1:35" ht="18.75" customHeight="1" x14ac:dyDescent="0.3">
      <c r="A440" s="281">
        <v>45509</v>
      </c>
      <c r="B440" s="136"/>
      <c r="C440" s="136"/>
      <c r="D440" s="136"/>
      <c r="E440" s="136"/>
      <c r="F440" s="136"/>
      <c r="G440" s="136"/>
      <c r="H440" s="136"/>
      <c r="I440" s="136"/>
      <c r="J440" s="136"/>
      <c r="K440" s="136"/>
      <c r="L440" s="136"/>
      <c r="M440" s="136"/>
      <c r="N440" s="136"/>
      <c r="O440" s="136"/>
      <c r="P440" s="136"/>
      <c r="Q440" s="136"/>
      <c r="R440" s="136"/>
      <c r="S440" s="136"/>
      <c r="T440" s="136"/>
      <c r="U440" s="136"/>
      <c r="V440" s="136"/>
      <c r="W440" s="136"/>
      <c r="X440" s="136"/>
      <c r="Y440" s="136"/>
      <c r="Z440" s="136"/>
      <c r="AA440" s="136"/>
      <c r="AB440" s="136"/>
      <c r="AC440" s="136"/>
      <c r="AD440" s="136"/>
      <c r="AE440" s="355">
        <f t="shared" si="73"/>
        <v>0</v>
      </c>
      <c r="AF440" s="272" t="s">
        <v>732</v>
      </c>
      <c r="AG440" s="136"/>
      <c r="AH440" s="136"/>
      <c r="AI440" s="136"/>
    </row>
    <row r="441" spans="1:35" ht="18.75" customHeight="1" x14ac:dyDescent="0.3">
      <c r="A441" s="281">
        <v>45509</v>
      </c>
      <c r="B441" s="136"/>
      <c r="C441" s="136"/>
      <c r="D441" s="136"/>
      <c r="E441" s="136"/>
      <c r="F441" s="136"/>
      <c r="G441" s="136"/>
      <c r="H441" s="136"/>
      <c r="I441" s="136"/>
      <c r="J441" s="136"/>
      <c r="K441" s="136"/>
      <c r="L441" s="136"/>
      <c r="M441" s="136"/>
      <c r="N441" s="136"/>
      <c r="O441" s="136"/>
      <c r="P441" s="136"/>
      <c r="Q441" s="136"/>
      <c r="R441" s="136"/>
      <c r="S441" s="136"/>
      <c r="T441" s="136"/>
      <c r="U441" s="136"/>
      <c r="V441" s="136"/>
      <c r="W441" s="136"/>
      <c r="X441" s="136"/>
      <c r="Y441" s="136"/>
      <c r="Z441" s="136"/>
      <c r="AA441" s="136"/>
      <c r="AB441" s="136"/>
      <c r="AC441" s="136"/>
      <c r="AD441" s="136"/>
      <c r="AE441" s="355">
        <f t="shared" si="73"/>
        <v>0</v>
      </c>
      <c r="AF441" s="272" t="s">
        <v>733</v>
      </c>
      <c r="AG441" s="136"/>
      <c r="AH441" s="136"/>
      <c r="AI441" s="136"/>
    </row>
    <row r="442" spans="1:35" ht="18.75" customHeight="1" x14ac:dyDescent="0.3">
      <c r="A442" s="281">
        <v>45509</v>
      </c>
      <c r="B442" s="136"/>
      <c r="C442" s="136"/>
      <c r="D442" s="136"/>
      <c r="E442" s="136"/>
      <c r="F442" s="136"/>
      <c r="G442" s="136"/>
      <c r="H442" s="136"/>
      <c r="I442" s="136"/>
      <c r="J442" s="136"/>
      <c r="K442" s="136"/>
      <c r="L442" s="136"/>
      <c r="M442" s="136"/>
      <c r="N442" s="136"/>
      <c r="O442" s="136"/>
      <c r="P442" s="136"/>
      <c r="Q442" s="136"/>
      <c r="R442" s="136"/>
      <c r="S442" s="136"/>
      <c r="T442" s="136"/>
      <c r="U442" s="136"/>
      <c r="V442" s="136"/>
      <c r="W442" s="136"/>
      <c r="X442" s="136"/>
      <c r="Y442" s="136"/>
      <c r="Z442" s="136"/>
      <c r="AA442" s="136"/>
      <c r="AB442" s="136"/>
      <c r="AC442" s="136"/>
      <c r="AD442" s="136"/>
      <c r="AE442" s="355">
        <f t="shared" si="73"/>
        <v>0</v>
      </c>
      <c r="AF442" s="272" t="s">
        <v>734</v>
      </c>
      <c r="AG442" s="136"/>
      <c r="AH442" s="136"/>
      <c r="AI442" s="136"/>
    </row>
    <row r="443" spans="1:35" ht="18.75" customHeight="1" x14ac:dyDescent="0.3">
      <c r="A443" s="281">
        <v>29707</v>
      </c>
      <c r="B443" s="136"/>
      <c r="C443" s="136"/>
      <c r="D443" s="136"/>
      <c r="E443" s="136"/>
      <c r="F443" s="136"/>
      <c r="G443" s="136"/>
      <c r="H443" s="136"/>
      <c r="I443" s="136"/>
      <c r="J443" s="136"/>
      <c r="K443" s="136"/>
      <c r="L443" s="136"/>
      <c r="M443" s="136"/>
      <c r="N443" s="136"/>
      <c r="O443" s="136"/>
      <c r="P443" s="136"/>
      <c r="Q443" s="136"/>
      <c r="R443" s="136"/>
      <c r="S443" s="136"/>
      <c r="T443" s="136"/>
      <c r="U443" s="136"/>
      <c r="V443" s="136"/>
      <c r="W443" s="136"/>
      <c r="X443" s="136"/>
      <c r="Y443" s="136"/>
      <c r="Z443" s="136"/>
      <c r="AA443" s="136"/>
      <c r="AB443" s="136"/>
      <c r="AC443" s="136"/>
      <c r="AD443" s="136"/>
      <c r="AE443" s="355">
        <f t="shared" si="73"/>
        <v>0</v>
      </c>
      <c r="AF443" s="272" t="s">
        <v>735</v>
      </c>
      <c r="AG443" s="136"/>
      <c r="AH443" s="136"/>
      <c r="AI443" s="136"/>
    </row>
    <row r="444" spans="1:35" ht="18.75" customHeight="1" x14ac:dyDescent="0.3">
      <c r="A444" s="281">
        <v>45511</v>
      </c>
      <c r="B444" s="136"/>
      <c r="C444" s="136"/>
      <c r="D444" s="136"/>
      <c r="E444" s="136"/>
      <c r="F444" s="136"/>
      <c r="G444" s="136"/>
      <c r="H444" s="136"/>
      <c r="I444" s="136"/>
      <c r="J444" s="136"/>
      <c r="K444" s="136"/>
      <c r="L444" s="136"/>
      <c r="M444" s="136"/>
      <c r="N444" s="136"/>
      <c r="O444" s="136"/>
      <c r="P444" s="136"/>
      <c r="Q444" s="136"/>
      <c r="R444" s="136"/>
      <c r="S444" s="136"/>
      <c r="T444" s="136"/>
      <c r="U444" s="136"/>
      <c r="V444" s="136"/>
      <c r="W444" s="136"/>
      <c r="X444" s="136"/>
      <c r="Y444" s="136"/>
      <c r="Z444" s="136"/>
      <c r="AA444" s="136"/>
      <c r="AB444" s="136"/>
      <c r="AC444" s="136"/>
      <c r="AD444" s="136"/>
      <c r="AE444" s="355">
        <f t="shared" si="73"/>
        <v>0</v>
      </c>
      <c r="AF444" s="272" t="s">
        <v>736</v>
      </c>
      <c r="AG444" s="136"/>
      <c r="AH444" s="136"/>
      <c r="AI444" s="136"/>
    </row>
    <row r="445" spans="1:35" ht="18.75" customHeight="1" x14ac:dyDescent="0.3">
      <c r="A445" s="281">
        <v>45511</v>
      </c>
      <c r="B445" s="136"/>
      <c r="C445" s="136"/>
      <c r="D445" s="136"/>
      <c r="E445" s="136"/>
      <c r="F445" s="136"/>
      <c r="G445" s="136"/>
      <c r="H445" s="136"/>
      <c r="I445" s="136"/>
      <c r="J445" s="136"/>
      <c r="K445" s="136"/>
      <c r="L445" s="136"/>
      <c r="M445" s="136"/>
      <c r="N445" s="136"/>
      <c r="O445" s="136"/>
      <c r="P445" s="136"/>
      <c r="Q445" s="136"/>
      <c r="R445" s="136"/>
      <c r="S445" s="136"/>
      <c r="T445" s="136"/>
      <c r="U445" s="136"/>
      <c r="V445" s="136"/>
      <c r="W445" s="136"/>
      <c r="X445" s="136"/>
      <c r="Y445" s="136"/>
      <c r="Z445" s="136"/>
      <c r="AA445" s="136"/>
      <c r="AB445" s="136"/>
      <c r="AC445" s="136"/>
      <c r="AD445" s="136"/>
      <c r="AE445" s="355">
        <f t="shared" si="73"/>
        <v>0</v>
      </c>
      <c r="AF445" s="272" t="s">
        <v>737</v>
      </c>
      <c r="AG445" s="136"/>
      <c r="AH445" s="136"/>
      <c r="AI445" s="136"/>
    </row>
    <row r="446" spans="1:35" ht="18.75" customHeight="1" x14ac:dyDescent="0.3">
      <c r="A446" s="281">
        <v>45511</v>
      </c>
      <c r="B446" s="136"/>
      <c r="C446" s="136"/>
      <c r="D446" s="136"/>
      <c r="E446" s="136"/>
      <c r="F446" s="136"/>
      <c r="G446" s="136"/>
      <c r="H446" s="136"/>
      <c r="I446" s="136"/>
      <c r="J446" s="136"/>
      <c r="K446" s="136"/>
      <c r="L446" s="136"/>
      <c r="M446" s="136"/>
      <c r="N446" s="136"/>
      <c r="O446" s="136"/>
      <c r="P446" s="136"/>
      <c r="Q446" s="136"/>
      <c r="R446" s="136"/>
      <c r="S446" s="136"/>
      <c r="T446" s="136"/>
      <c r="U446" s="136"/>
      <c r="V446" s="136"/>
      <c r="W446" s="136"/>
      <c r="X446" s="136"/>
      <c r="Y446" s="136"/>
      <c r="Z446" s="136"/>
      <c r="AA446" s="136"/>
      <c r="AB446" s="136"/>
      <c r="AC446" s="136"/>
      <c r="AD446" s="136"/>
      <c r="AE446" s="355">
        <f t="shared" si="73"/>
        <v>0</v>
      </c>
      <c r="AF446" s="272" t="s">
        <v>738</v>
      </c>
      <c r="AG446" s="136"/>
      <c r="AH446" s="136"/>
      <c r="AI446" s="136"/>
    </row>
    <row r="447" spans="1:35" ht="18.75" customHeight="1" x14ac:dyDescent="0.3">
      <c r="A447" s="281">
        <v>45511</v>
      </c>
      <c r="B447" s="136"/>
      <c r="C447" s="136"/>
      <c r="D447" s="136"/>
      <c r="E447" s="136"/>
      <c r="F447" s="136"/>
      <c r="G447" s="136"/>
      <c r="H447" s="136"/>
      <c r="I447" s="136"/>
      <c r="J447" s="136"/>
      <c r="K447" s="136"/>
      <c r="L447" s="136"/>
      <c r="M447" s="136"/>
      <c r="N447" s="136"/>
      <c r="O447" s="136"/>
      <c r="P447" s="136"/>
      <c r="Q447" s="136"/>
      <c r="R447" s="136"/>
      <c r="S447" s="136"/>
      <c r="T447" s="136"/>
      <c r="U447" s="136"/>
      <c r="V447" s="136"/>
      <c r="W447" s="136"/>
      <c r="X447" s="136"/>
      <c r="Y447" s="136"/>
      <c r="Z447" s="136"/>
      <c r="AA447" s="136"/>
      <c r="AB447" s="136"/>
      <c r="AC447" s="136"/>
      <c r="AD447" s="136"/>
      <c r="AE447" s="355">
        <f t="shared" si="73"/>
        <v>0</v>
      </c>
      <c r="AF447" s="272" t="s">
        <v>739</v>
      </c>
      <c r="AG447" s="136"/>
      <c r="AH447" s="136"/>
      <c r="AI447" s="136"/>
    </row>
    <row r="448" spans="1:35" ht="18.75" customHeight="1" x14ac:dyDescent="0.3">
      <c r="A448" s="281">
        <v>45511</v>
      </c>
      <c r="B448" s="136"/>
      <c r="C448" s="136"/>
      <c r="D448" s="136"/>
      <c r="E448" s="136"/>
      <c r="F448" s="136"/>
      <c r="G448" s="136"/>
      <c r="H448" s="136"/>
      <c r="I448" s="136"/>
      <c r="J448" s="136"/>
      <c r="K448" s="136"/>
      <c r="L448" s="136"/>
      <c r="M448" s="136"/>
      <c r="N448" s="136"/>
      <c r="O448" s="136"/>
      <c r="P448" s="136"/>
      <c r="Q448" s="136"/>
      <c r="R448" s="136"/>
      <c r="S448" s="136"/>
      <c r="T448" s="136"/>
      <c r="U448" s="136"/>
      <c r="V448" s="136"/>
      <c r="W448" s="136"/>
      <c r="X448" s="136"/>
      <c r="Y448" s="136"/>
      <c r="Z448" s="136"/>
      <c r="AA448" s="136"/>
      <c r="AB448" s="136"/>
      <c r="AC448" s="136"/>
      <c r="AD448" s="136"/>
      <c r="AE448" s="355">
        <f t="shared" si="73"/>
        <v>0</v>
      </c>
      <c r="AF448" s="272" t="s">
        <v>740</v>
      </c>
      <c r="AG448" s="136"/>
      <c r="AH448" s="136"/>
      <c r="AI448" s="136"/>
    </row>
    <row r="449" spans="1:35" ht="18.75" customHeight="1" x14ac:dyDescent="0.3">
      <c r="A449" s="281">
        <v>45511</v>
      </c>
      <c r="B449" s="136"/>
      <c r="C449" s="136"/>
      <c r="D449" s="136"/>
      <c r="E449" s="136"/>
      <c r="F449" s="136"/>
      <c r="G449" s="136"/>
      <c r="H449" s="136"/>
      <c r="I449" s="136"/>
      <c r="J449" s="136"/>
      <c r="K449" s="136"/>
      <c r="L449" s="136"/>
      <c r="M449" s="136"/>
      <c r="N449" s="136"/>
      <c r="O449" s="136"/>
      <c r="P449" s="136"/>
      <c r="Q449" s="136"/>
      <c r="R449" s="136"/>
      <c r="S449" s="136"/>
      <c r="T449" s="136"/>
      <c r="U449" s="136"/>
      <c r="V449" s="136"/>
      <c r="W449" s="136"/>
      <c r="X449" s="136"/>
      <c r="Y449" s="136"/>
      <c r="Z449" s="136"/>
      <c r="AA449" s="136"/>
      <c r="AB449" s="136"/>
      <c r="AC449" s="136"/>
      <c r="AD449" s="136"/>
      <c r="AE449" s="355">
        <f t="shared" si="73"/>
        <v>0</v>
      </c>
      <c r="AF449" s="272" t="s">
        <v>741</v>
      </c>
      <c r="AG449" s="136"/>
      <c r="AH449" s="136"/>
      <c r="AI449" s="136"/>
    </row>
    <row r="450" spans="1:35" ht="18.75" customHeight="1" x14ac:dyDescent="0.3">
      <c r="A450" s="281">
        <v>45512</v>
      </c>
      <c r="B450" s="136"/>
      <c r="C450" s="136"/>
      <c r="D450" s="136"/>
      <c r="E450" s="136"/>
      <c r="F450" s="136"/>
      <c r="G450" s="136"/>
      <c r="H450" s="136"/>
      <c r="I450" s="136"/>
      <c r="J450" s="136"/>
      <c r="K450" s="136"/>
      <c r="L450" s="136"/>
      <c r="M450" s="136"/>
      <c r="N450" s="136"/>
      <c r="O450" s="136"/>
      <c r="P450" s="136"/>
      <c r="Q450" s="136"/>
      <c r="R450" s="136"/>
      <c r="S450" s="136"/>
      <c r="T450" s="136"/>
      <c r="U450" s="136"/>
      <c r="V450" s="136"/>
      <c r="W450" s="136"/>
      <c r="X450" s="136"/>
      <c r="Y450" s="136"/>
      <c r="Z450" s="136"/>
      <c r="AA450" s="136"/>
      <c r="AB450" s="136"/>
      <c r="AC450" s="136"/>
      <c r="AD450" s="136"/>
      <c r="AE450" s="355">
        <f t="shared" si="73"/>
        <v>0</v>
      </c>
      <c r="AF450" s="272" t="s">
        <v>742</v>
      </c>
      <c r="AG450" s="136"/>
      <c r="AH450" s="136"/>
      <c r="AI450" s="136"/>
    </row>
    <row r="451" spans="1:35" ht="18.75" customHeight="1" x14ac:dyDescent="0.3">
      <c r="A451" s="281">
        <v>45512</v>
      </c>
      <c r="B451" s="136"/>
      <c r="C451" s="136"/>
      <c r="D451" s="136"/>
      <c r="E451" s="136"/>
      <c r="F451" s="136"/>
      <c r="G451" s="136"/>
      <c r="H451" s="136"/>
      <c r="I451" s="136"/>
      <c r="J451" s="136"/>
      <c r="K451" s="136"/>
      <c r="L451" s="136"/>
      <c r="M451" s="136"/>
      <c r="N451" s="136"/>
      <c r="O451" s="136"/>
      <c r="P451" s="136"/>
      <c r="Q451" s="136"/>
      <c r="R451" s="136"/>
      <c r="S451" s="136"/>
      <c r="T451" s="136"/>
      <c r="U451" s="136"/>
      <c r="V451" s="136"/>
      <c r="W451" s="136"/>
      <c r="X451" s="136"/>
      <c r="Y451" s="136"/>
      <c r="Z451" s="136"/>
      <c r="AA451" s="136"/>
      <c r="AB451" s="136"/>
      <c r="AC451" s="136"/>
      <c r="AD451" s="136"/>
      <c r="AE451" s="355">
        <f t="shared" si="73"/>
        <v>0</v>
      </c>
      <c r="AF451" s="272" t="s">
        <v>743</v>
      </c>
      <c r="AG451" s="136"/>
      <c r="AH451" s="136"/>
      <c r="AI451" s="136"/>
    </row>
    <row r="452" spans="1:35" ht="18.75" customHeight="1" x14ac:dyDescent="0.3">
      <c r="A452" s="281">
        <v>45517</v>
      </c>
      <c r="B452" s="136"/>
      <c r="C452" s="136"/>
      <c r="D452" s="136"/>
      <c r="E452" s="136"/>
      <c r="F452" s="136"/>
      <c r="G452" s="136"/>
      <c r="H452" s="136"/>
      <c r="I452" s="136"/>
      <c r="J452" s="136"/>
      <c r="K452" s="136"/>
      <c r="L452" s="136"/>
      <c r="M452" s="136"/>
      <c r="N452" s="136"/>
      <c r="O452" s="136"/>
      <c r="P452" s="136"/>
      <c r="Q452" s="136"/>
      <c r="R452" s="136"/>
      <c r="S452" s="136"/>
      <c r="T452" s="136"/>
      <c r="U452" s="136"/>
      <c r="V452" s="136"/>
      <c r="W452" s="136"/>
      <c r="X452" s="136"/>
      <c r="Y452" s="136"/>
      <c r="Z452" s="136"/>
      <c r="AA452" s="136"/>
      <c r="AB452" s="136"/>
      <c r="AC452" s="136"/>
      <c r="AD452" s="136"/>
      <c r="AE452" s="355">
        <f t="shared" si="73"/>
        <v>0</v>
      </c>
      <c r="AF452" s="272" t="s">
        <v>744</v>
      </c>
      <c r="AG452" s="136"/>
      <c r="AH452" s="136"/>
      <c r="AI452" s="136"/>
    </row>
    <row r="453" spans="1:35" ht="18.75" customHeight="1" x14ac:dyDescent="0.3">
      <c r="A453" s="281">
        <v>45517</v>
      </c>
      <c r="B453" s="136"/>
      <c r="C453" s="136"/>
      <c r="D453" s="136"/>
      <c r="E453" s="136"/>
      <c r="F453" s="136"/>
      <c r="G453" s="136"/>
      <c r="H453" s="136"/>
      <c r="I453" s="136"/>
      <c r="J453" s="136"/>
      <c r="K453" s="136"/>
      <c r="L453" s="136"/>
      <c r="M453" s="136"/>
      <c r="N453" s="136"/>
      <c r="O453" s="136"/>
      <c r="P453" s="136"/>
      <c r="Q453" s="136"/>
      <c r="R453" s="136"/>
      <c r="S453" s="136"/>
      <c r="T453" s="136"/>
      <c r="U453" s="136"/>
      <c r="V453" s="136"/>
      <c r="W453" s="136"/>
      <c r="X453" s="136"/>
      <c r="Y453" s="136"/>
      <c r="Z453" s="136"/>
      <c r="AA453" s="136"/>
      <c r="AB453" s="136"/>
      <c r="AC453" s="136"/>
      <c r="AD453" s="136"/>
      <c r="AE453" s="355">
        <f t="shared" si="73"/>
        <v>0</v>
      </c>
      <c r="AF453" s="272" t="s">
        <v>745</v>
      </c>
      <c r="AG453" s="136"/>
      <c r="AH453" s="136"/>
      <c r="AI453" s="136"/>
    </row>
    <row r="454" spans="1:35" ht="18.75" customHeight="1" x14ac:dyDescent="0.3">
      <c r="A454" s="281">
        <v>45517</v>
      </c>
      <c r="B454" s="136"/>
      <c r="C454" s="136"/>
      <c r="D454" s="136"/>
      <c r="E454" s="136"/>
      <c r="F454" s="136"/>
      <c r="G454" s="136"/>
      <c r="H454" s="136"/>
      <c r="I454" s="136"/>
      <c r="J454" s="136"/>
      <c r="K454" s="136"/>
      <c r="L454" s="136"/>
      <c r="M454" s="136"/>
      <c r="N454" s="136"/>
      <c r="O454" s="136"/>
      <c r="P454" s="136"/>
      <c r="Q454" s="136"/>
      <c r="R454" s="136"/>
      <c r="S454" s="136"/>
      <c r="T454" s="136"/>
      <c r="U454" s="136"/>
      <c r="V454" s="136"/>
      <c r="W454" s="136"/>
      <c r="X454" s="136"/>
      <c r="Y454" s="136"/>
      <c r="Z454" s="136"/>
      <c r="AA454" s="136"/>
      <c r="AB454" s="136"/>
      <c r="AC454" s="136"/>
      <c r="AD454" s="136"/>
      <c r="AE454" s="355">
        <f t="shared" si="73"/>
        <v>0</v>
      </c>
      <c r="AF454" s="272" t="s">
        <v>746</v>
      </c>
      <c r="AG454" s="136"/>
      <c r="AH454" s="136"/>
      <c r="AI454" s="136"/>
    </row>
    <row r="455" spans="1:35" ht="18.75" customHeight="1" x14ac:dyDescent="0.3">
      <c r="A455" s="281">
        <v>45517</v>
      </c>
      <c r="B455" s="136"/>
      <c r="C455" s="136"/>
      <c r="D455" s="136"/>
      <c r="E455" s="136"/>
      <c r="F455" s="136"/>
      <c r="G455" s="136"/>
      <c r="H455" s="136"/>
      <c r="I455" s="136"/>
      <c r="J455" s="136"/>
      <c r="K455" s="136"/>
      <c r="L455" s="136"/>
      <c r="M455" s="136"/>
      <c r="N455" s="136"/>
      <c r="O455" s="136"/>
      <c r="P455" s="136"/>
      <c r="Q455" s="136"/>
      <c r="R455" s="136"/>
      <c r="S455" s="136"/>
      <c r="T455" s="136"/>
      <c r="U455" s="136"/>
      <c r="V455" s="136"/>
      <c r="W455" s="136"/>
      <c r="X455" s="136"/>
      <c r="Y455" s="136"/>
      <c r="Z455" s="136"/>
      <c r="AA455" s="136"/>
      <c r="AB455" s="136"/>
      <c r="AC455" s="136"/>
      <c r="AD455" s="136"/>
      <c r="AE455" s="355">
        <f t="shared" si="73"/>
        <v>0</v>
      </c>
      <c r="AF455" s="272" t="s">
        <v>747</v>
      </c>
      <c r="AG455" s="136"/>
      <c r="AH455" s="136"/>
      <c r="AI455" s="136"/>
    </row>
    <row r="456" spans="1:35" ht="18.75" customHeight="1" x14ac:dyDescent="0.3">
      <c r="A456" s="281">
        <v>45519</v>
      </c>
      <c r="B456" s="136"/>
      <c r="C456" s="136"/>
      <c r="D456" s="136"/>
      <c r="E456" s="136"/>
      <c r="F456" s="136"/>
      <c r="G456" s="136"/>
      <c r="H456" s="136"/>
      <c r="I456" s="136"/>
      <c r="J456" s="136"/>
      <c r="K456" s="136"/>
      <c r="L456" s="136"/>
      <c r="M456" s="136"/>
      <c r="N456" s="136"/>
      <c r="O456" s="136"/>
      <c r="P456" s="136"/>
      <c r="Q456" s="136"/>
      <c r="R456" s="136"/>
      <c r="S456" s="136"/>
      <c r="T456" s="136"/>
      <c r="U456" s="136"/>
      <c r="V456" s="136"/>
      <c r="W456" s="136"/>
      <c r="X456" s="136"/>
      <c r="Y456" s="136"/>
      <c r="Z456" s="136"/>
      <c r="AA456" s="136"/>
      <c r="AB456" s="136"/>
      <c r="AC456" s="136"/>
      <c r="AD456" s="136"/>
      <c r="AE456" s="355">
        <f t="shared" si="73"/>
        <v>0</v>
      </c>
      <c r="AF456" s="272" t="s">
        <v>748</v>
      </c>
      <c r="AG456" s="136"/>
      <c r="AH456" s="136"/>
      <c r="AI456" s="136"/>
    </row>
    <row r="457" spans="1:35" ht="18.75" customHeight="1" x14ac:dyDescent="0.3">
      <c r="A457" s="281">
        <v>45519</v>
      </c>
      <c r="B457" s="136"/>
      <c r="C457" s="136"/>
      <c r="D457" s="136"/>
      <c r="E457" s="136"/>
      <c r="F457" s="136"/>
      <c r="G457" s="136"/>
      <c r="H457" s="136"/>
      <c r="I457" s="136"/>
      <c r="J457" s="136"/>
      <c r="K457" s="136"/>
      <c r="L457" s="136"/>
      <c r="M457" s="136"/>
      <c r="N457" s="136"/>
      <c r="O457" s="136"/>
      <c r="P457" s="136"/>
      <c r="Q457" s="136"/>
      <c r="R457" s="136"/>
      <c r="S457" s="136"/>
      <c r="T457" s="136"/>
      <c r="U457" s="136"/>
      <c r="V457" s="136"/>
      <c r="W457" s="136"/>
      <c r="X457" s="136"/>
      <c r="Y457" s="136"/>
      <c r="Z457" s="136"/>
      <c r="AA457" s="136"/>
      <c r="AB457" s="136"/>
      <c r="AC457" s="136"/>
      <c r="AD457" s="136"/>
      <c r="AE457" s="355">
        <f t="shared" si="73"/>
        <v>0</v>
      </c>
      <c r="AF457" s="272" t="s">
        <v>749</v>
      </c>
      <c r="AG457" s="136"/>
      <c r="AH457" s="136"/>
      <c r="AI457" s="136"/>
    </row>
    <row r="458" spans="1:35" ht="18.75" customHeight="1" x14ac:dyDescent="0.3">
      <c r="A458" s="281">
        <v>45519</v>
      </c>
      <c r="B458" s="136"/>
      <c r="C458" s="136"/>
      <c r="D458" s="136"/>
      <c r="E458" s="136"/>
      <c r="F458" s="136"/>
      <c r="G458" s="136"/>
      <c r="H458" s="136"/>
      <c r="I458" s="136"/>
      <c r="J458" s="136"/>
      <c r="K458" s="136"/>
      <c r="L458" s="136"/>
      <c r="M458" s="136"/>
      <c r="N458" s="136"/>
      <c r="O458" s="136"/>
      <c r="P458" s="136"/>
      <c r="Q458" s="136"/>
      <c r="R458" s="136"/>
      <c r="S458" s="136"/>
      <c r="T458" s="136"/>
      <c r="U458" s="136"/>
      <c r="V458" s="136"/>
      <c r="W458" s="136"/>
      <c r="X458" s="136"/>
      <c r="Y458" s="136"/>
      <c r="Z458" s="136"/>
      <c r="AA458" s="136"/>
      <c r="AB458" s="136"/>
      <c r="AC458" s="136"/>
      <c r="AD458" s="136"/>
      <c r="AE458" s="355">
        <f t="shared" si="73"/>
        <v>0</v>
      </c>
      <c r="AF458" s="272" t="s">
        <v>750</v>
      </c>
      <c r="AG458" s="136"/>
      <c r="AH458" s="136"/>
      <c r="AI458" s="136"/>
    </row>
    <row r="459" spans="1:35" ht="18.75" customHeight="1" x14ac:dyDescent="0.3">
      <c r="A459" s="284">
        <v>45519</v>
      </c>
      <c r="B459" s="285"/>
      <c r="C459" s="285"/>
      <c r="D459" s="285"/>
      <c r="E459" s="285"/>
      <c r="F459" s="285"/>
      <c r="G459" s="285"/>
      <c r="H459" s="285"/>
      <c r="I459" s="285"/>
      <c r="J459" s="285"/>
      <c r="K459" s="285"/>
      <c r="L459" s="285"/>
      <c r="M459" s="285"/>
      <c r="N459" s="285"/>
      <c r="O459" s="285"/>
      <c r="P459" s="285"/>
      <c r="Q459" s="285"/>
      <c r="R459" s="285"/>
      <c r="S459" s="285"/>
      <c r="T459" s="285"/>
      <c r="U459" s="285"/>
      <c r="V459" s="285"/>
      <c r="W459" s="285"/>
      <c r="X459" s="285"/>
      <c r="Y459" s="285"/>
      <c r="Z459" s="285"/>
      <c r="AA459" s="285"/>
      <c r="AB459" s="285"/>
      <c r="AC459" s="285"/>
      <c r="AD459" s="285"/>
      <c r="AE459" s="313">
        <f t="shared" si="73"/>
        <v>0</v>
      </c>
      <c r="AF459" s="1228" t="s">
        <v>751</v>
      </c>
      <c r="AG459" s="1198"/>
      <c r="AH459" s="1198"/>
      <c r="AI459" s="1198"/>
    </row>
    <row r="460" spans="1:35" ht="18.75" customHeight="1" x14ac:dyDescent="0.3">
      <c r="A460" s="281">
        <v>45523</v>
      </c>
      <c r="B460" s="136"/>
      <c r="C460" s="136"/>
      <c r="D460" s="136"/>
      <c r="E460" s="136"/>
      <c r="F460" s="136"/>
      <c r="G460" s="136"/>
      <c r="H460" s="136"/>
      <c r="I460" s="136"/>
      <c r="J460" s="136"/>
      <c r="K460" s="136"/>
      <c r="L460" s="136"/>
      <c r="M460" s="136"/>
      <c r="N460" s="136"/>
      <c r="O460" s="136"/>
      <c r="P460" s="136"/>
      <c r="Q460" s="136"/>
      <c r="R460" s="136"/>
      <c r="S460" s="136"/>
      <c r="T460" s="136"/>
      <c r="U460" s="136"/>
      <c r="V460" s="136"/>
      <c r="W460" s="136"/>
      <c r="X460" s="136"/>
      <c r="Y460" s="136"/>
      <c r="Z460" s="136"/>
      <c r="AA460" s="136"/>
      <c r="AB460" s="136"/>
      <c r="AC460" s="136"/>
      <c r="AD460" s="136"/>
      <c r="AE460" s="355">
        <f t="shared" ref="AE460:AE481" si="74">SUM(B460:AD460)</f>
        <v>0</v>
      </c>
      <c r="AF460" s="272" t="s">
        <v>752</v>
      </c>
      <c r="AG460" s="136"/>
      <c r="AH460" s="136"/>
      <c r="AI460" s="136"/>
    </row>
    <row r="461" spans="1:35" ht="18.75" customHeight="1" x14ac:dyDescent="0.3">
      <c r="A461" s="281">
        <v>45523</v>
      </c>
      <c r="B461" s="136"/>
      <c r="C461" s="136"/>
      <c r="D461" s="136"/>
      <c r="E461" s="136"/>
      <c r="F461" s="136"/>
      <c r="G461" s="136"/>
      <c r="H461" s="136"/>
      <c r="I461" s="136"/>
      <c r="J461" s="136"/>
      <c r="K461" s="136"/>
      <c r="L461" s="136"/>
      <c r="M461" s="136"/>
      <c r="N461" s="136"/>
      <c r="O461" s="136"/>
      <c r="P461" s="136"/>
      <c r="Q461" s="136"/>
      <c r="R461" s="136"/>
      <c r="S461" s="136"/>
      <c r="T461" s="136"/>
      <c r="U461" s="136"/>
      <c r="V461" s="136"/>
      <c r="W461" s="136"/>
      <c r="X461" s="136"/>
      <c r="Y461" s="136"/>
      <c r="Z461" s="136"/>
      <c r="AA461" s="136"/>
      <c r="AB461" s="136"/>
      <c r="AC461" s="136"/>
      <c r="AD461" s="136"/>
      <c r="AE461" s="355">
        <f t="shared" si="74"/>
        <v>0</v>
      </c>
      <c r="AF461" s="272" t="s">
        <v>753</v>
      </c>
      <c r="AG461" s="136"/>
      <c r="AH461" s="136"/>
      <c r="AI461" s="136"/>
    </row>
    <row r="462" spans="1:35" ht="18.75" customHeight="1" x14ac:dyDescent="0.3">
      <c r="A462" s="281">
        <v>45524</v>
      </c>
      <c r="B462" s="136"/>
      <c r="C462" s="136"/>
      <c r="D462" s="136"/>
      <c r="E462" s="136"/>
      <c r="F462" s="136"/>
      <c r="G462" s="136"/>
      <c r="H462" s="136"/>
      <c r="I462" s="136"/>
      <c r="J462" s="136"/>
      <c r="K462" s="136"/>
      <c r="L462" s="136"/>
      <c r="M462" s="136"/>
      <c r="N462" s="136"/>
      <c r="O462" s="136"/>
      <c r="P462" s="136"/>
      <c r="Q462" s="136"/>
      <c r="R462" s="136"/>
      <c r="S462" s="136"/>
      <c r="T462" s="136"/>
      <c r="U462" s="136"/>
      <c r="V462" s="136"/>
      <c r="W462" s="136"/>
      <c r="X462" s="136"/>
      <c r="Y462" s="136"/>
      <c r="Z462" s="136"/>
      <c r="AA462" s="136"/>
      <c r="AB462" s="136"/>
      <c r="AC462" s="136"/>
      <c r="AD462" s="136"/>
      <c r="AE462" s="355">
        <f t="shared" si="74"/>
        <v>0</v>
      </c>
      <c r="AF462" s="272" t="s">
        <v>323</v>
      </c>
      <c r="AG462" s="136"/>
      <c r="AH462" s="136"/>
      <c r="AI462" s="136"/>
    </row>
    <row r="463" spans="1:35" ht="18.75" customHeight="1" x14ac:dyDescent="0.3">
      <c r="A463" s="281">
        <v>45524</v>
      </c>
      <c r="B463" s="136"/>
      <c r="C463" s="136"/>
      <c r="D463" s="136"/>
      <c r="E463" s="136"/>
      <c r="F463" s="136"/>
      <c r="G463" s="136"/>
      <c r="H463" s="136"/>
      <c r="I463" s="136"/>
      <c r="J463" s="136"/>
      <c r="K463" s="136"/>
      <c r="L463" s="136"/>
      <c r="M463" s="136"/>
      <c r="N463" s="136"/>
      <c r="O463" s="136"/>
      <c r="P463" s="136"/>
      <c r="Q463" s="136"/>
      <c r="R463" s="136"/>
      <c r="S463" s="136"/>
      <c r="T463" s="136"/>
      <c r="U463" s="136"/>
      <c r="V463" s="136"/>
      <c r="W463" s="136"/>
      <c r="X463" s="136"/>
      <c r="Y463" s="136"/>
      <c r="Z463" s="136"/>
      <c r="AA463" s="136"/>
      <c r="AB463" s="136"/>
      <c r="AC463" s="136"/>
      <c r="AD463" s="136"/>
      <c r="AE463" s="355">
        <f t="shared" si="74"/>
        <v>0</v>
      </c>
      <c r="AF463" s="272" t="s">
        <v>754</v>
      </c>
      <c r="AG463" s="136"/>
      <c r="AH463" s="136"/>
      <c r="AI463" s="136"/>
    </row>
    <row r="464" spans="1:35" ht="18.75" customHeight="1" x14ac:dyDescent="0.3">
      <c r="A464" s="281">
        <v>45524</v>
      </c>
      <c r="B464" s="136"/>
      <c r="C464" s="136"/>
      <c r="D464" s="136"/>
      <c r="E464" s="136"/>
      <c r="F464" s="136"/>
      <c r="G464" s="136"/>
      <c r="H464" s="136"/>
      <c r="I464" s="136"/>
      <c r="J464" s="136"/>
      <c r="K464" s="136"/>
      <c r="L464" s="136"/>
      <c r="M464" s="136"/>
      <c r="N464" s="136"/>
      <c r="O464" s="136"/>
      <c r="P464" s="136"/>
      <c r="Q464" s="136"/>
      <c r="R464" s="136"/>
      <c r="S464" s="136"/>
      <c r="T464" s="136"/>
      <c r="U464" s="136"/>
      <c r="V464" s="136"/>
      <c r="W464" s="136"/>
      <c r="X464" s="136"/>
      <c r="Y464" s="136"/>
      <c r="Z464" s="136"/>
      <c r="AA464" s="136"/>
      <c r="AB464" s="136"/>
      <c r="AC464" s="136"/>
      <c r="AD464" s="136"/>
      <c r="AE464" s="355">
        <f t="shared" si="74"/>
        <v>0</v>
      </c>
      <c r="AF464" s="272" t="s">
        <v>755</v>
      </c>
      <c r="AG464" s="136"/>
      <c r="AH464" s="136"/>
      <c r="AI464" s="136"/>
    </row>
    <row r="465" spans="1:35" ht="18.75" customHeight="1" x14ac:dyDescent="0.3">
      <c r="A465" s="281">
        <v>45524</v>
      </c>
      <c r="B465" s="136"/>
      <c r="C465" s="136"/>
      <c r="D465" s="136"/>
      <c r="E465" s="136"/>
      <c r="F465" s="136"/>
      <c r="G465" s="136"/>
      <c r="H465" s="136"/>
      <c r="I465" s="136"/>
      <c r="J465" s="136"/>
      <c r="K465" s="136"/>
      <c r="L465" s="136"/>
      <c r="M465" s="136"/>
      <c r="N465" s="136"/>
      <c r="O465" s="136"/>
      <c r="P465" s="136"/>
      <c r="Q465" s="136"/>
      <c r="R465" s="136"/>
      <c r="S465" s="136"/>
      <c r="T465" s="136"/>
      <c r="U465" s="136"/>
      <c r="V465" s="136"/>
      <c r="W465" s="136"/>
      <c r="X465" s="136"/>
      <c r="Y465" s="136"/>
      <c r="Z465" s="136"/>
      <c r="AA465" s="136"/>
      <c r="AB465" s="136"/>
      <c r="AC465" s="136"/>
      <c r="AD465" s="136"/>
      <c r="AE465" s="355">
        <f t="shared" si="74"/>
        <v>0</v>
      </c>
      <c r="AF465" s="272" t="s">
        <v>756</v>
      </c>
      <c r="AG465" s="136"/>
      <c r="AH465" s="136"/>
      <c r="AI465" s="136"/>
    </row>
    <row r="466" spans="1:35" ht="18.75" customHeight="1" x14ac:dyDescent="0.3">
      <c r="A466" s="281">
        <v>45527</v>
      </c>
      <c r="B466" s="136"/>
      <c r="C466" s="136"/>
      <c r="D466" s="136"/>
      <c r="E466" s="136"/>
      <c r="F466" s="136"/>
      <c r="G466" s="136"/>
      <c r="H466" s="136"/>
      <c r="I466" s="136"/>
      <c r="J466" s="136"/>
      <c r="K466" s="136"/>
      <c r="L466" s="136"/>
      <c r="M466" s="136"/>
      <c r="N466" s="136"/>
      <c r="O466" s="136"/>
      <c r="P466" s="136"/>
      <c r="Q466" s="136"/>
      <c r="R466" s="136"/>
      <c r="S466" s="136"/>
      <c r="T466" s="136"/>
      <c r="U466" s="136"/>
      <c r="V466" s="136"/>
      <c r="W466" s="136"/>
      <c r="X466" s="136"/>
      <c r="Y466" s="136"/>
      <c r="Z466" s="136"/>
      <c r="AA466" s="136"/>
      <c r="AB466" s="136"/>
      <c r="AC466" s="136"/>
      <c r="AD466" s="136"/>
      <c r="AE466" s="355">
        <f t="shared" si="74"/>
        <v>0</v>
      </c>
      <c r="AF466" s="272" t="s">
        <v>757</v>
      </c>
      <c r="AG466" s="136"/>
      <c r="AH466" s="136"/>
      <c r="AI466" s="136"/>
    </row>
    <row r="467" spans="1:35" ht="18.75" customHeight="1" x14ac:dyDescent="0.3">
      <c r="A467" s="281">
        <v>45530</v>
      </c>
      <c r="B467" s="136"/>
      <c r="C467" s="136"/>
      <c r="D467" s="136"/>
      <c r="E467" s="136"/>
      <c r="F467" s="136"/>
      <c r="G467" s="136"/>
      <c r="H467" s="136"/>
      <c r="I467" s="136"/>
      <c r="J467" s="136"/>
      <c r="K467" s="136"/>
      <c r="L467" s="136"/>
      <c r="M467" s="136"/>
      <c r="N467" s="136"/>
      <c r="O467" s="136"/>
      <c r="P467" s="136"/>
      <c r="Q467" s="136"/>
      <c r="R467" s="136"/>
      <c r="S467" s="136"/>
      <c r="T467" s="136"/>
      <c r="U467" s="136"/>
      <c r="V467" s="136"/>
      <c r="W467" s="136"/>
      <c r="X467" s="136"/>
      <c r="Y467" s="136"/>
      <c r="Z467" s="136"/>
      <c r="AA467" s="136"/>
      <c r="AB467" s="136"/>
      <c r="AC467" s="136"/>
      <c r="AD467" s="136"/>
      <c r="AE467" s="355">
        <f t="shared" si="74"/>
        <v>0</v>
      </c>
      <c r="AF467" s="272" t="s">
        <v>758</v>
      </c>
      <c r="AG467" s="136"/>
      <c r="AH467" s="136"/>
      <c r="AI467" s="136"/>
    </row>
    <row r="468" spans="1:35" ht="18.75" customHeight="1" x14ac:dyDescent="0.3">
      <c r="A468" s="281">
        <v>45530</v>
      </c>
      <c r="B468" s="136"/>
      <c r="C468" s="136"/>
      <c r="D468" s="136"/>
      <c r="E468" s="136"/>
      <c r="F468" s="136"/>
      <c r="G468" s="136"/>
      <c r="H468" s="136"/>
      <c r="I468" s="136"/>
      <c r="J468" s="136"/>
      <c r="K468" s="136"/>
      <c r="L468" s="136"/>
      <c r="M468" s="136"/>
      <c r="N468" s="136"/>
      <c r="O468" s="136"/>
      <c r="P468" s="136"/>
      <c r="Q468" s="136"/>
      <c r="R468" s="136"/>
      <c r="S468" s="136"/>
      <c r="T468" s="136"/>
      <c r="U468" s="136"/>
      <c r="V468" s="136"/>
      <c r="W468" s="136"/>
      <c r="X468" s="136"/>
      <c r="Y468" s="136"/>
      <c r="Z468" s="136"/>
      <c r="AA468" s="136"/>
      <c r="AB468" s="136"/>
      <c r="AC468" s="136"/>
      <c r="AD468" s="136"/>
      <c r="AE468" s="355">
        <f t="shared" si="74"/>
        <v>0</v>
      </c>
      <c r="AF468" s="272" t="s">
        <v>759</v>
      </c>
      <c r="AG468" s="136"/>
      <c r="AH468" s="136"/>
      <c r="AI468" s="136"/>
    </row>
    <row r="469" spans="1:35" ht="18.75" customHeight="1" x14ac:dyDescent="0.3">
      <c r="A469" s="281">
        <v>45530</v>
      </c>
      <c r="B469" s="136"/>
      <c r="C469" s="136"/>
      <c r="D469" s="136"/>
      <c r="E469" s="136"/>
      <c r="F469" s="136"/>
      <c r="G469" s="136"/>
      <c r="H469" s="136"/>
      <c r="I469" s="136"/>
      <c r="J469" s="136"/>
      <c r="K469" s="136"/>
      <c r="L469" s="136"/>
      <c r="M469" s="136"/>
      <c r="N469" s="136"/>
      <c r="O469" s="136"/>
      <c r="P469" s="136"/>
      <c r="Q469" s="136"/>
      <c r="R469" s="136"/>
      <c r="S469" s="136"/>
      <c r="T469" s="136"/>
      <c r="U469" s="136"/>
      <c r="V469" s="136"/>
      <c r="W469" s="136"/>
      <c r="X469" s="136"/>
      <c r="Y469" s="136"/>
      <c r="Z469" s="136"/>
      <c r="AA469" s="136"/>
      <c r="AB469" s="136"/>
      <c r="AC469" s="136"/>
      <c r="AD469" s="136"/>
      <c r="AE469" s="355">
        <f t="shared" si="74"/>
        <v>0</v>
      </c>
      <c r="AF469" s="272" t="s">
        <v>760</v>
      </c>
      <c r="AG469" s="136"/>
      <c r="AH469" s="136"/>
      <c r="AI469" s="136"/>
    </row>
    <row r="470" spans="1:35" ht="18.75" customHeight="1" x14ac:dyDescent="0.3">
      <c r="A470" s="281">
        <v>45531</v>
      </c>
      <c r="B470" s="136"/>
      <c r="C470" s="136"/>
      <c r="D470" s="136"/>
      <c r="E470" s="136"/>
      <c r="F470" s="136"/>
      <c r="G470" s="136"/>
      <c r="H470" s="136"/>
      <c r="I470" s="136"/>
      <c r="J470" s="136"/>
      <c r="K470" s="136"/>
      <c r="L470" s="136"/>
      <c r="M470" s="136"/>
      <c r="N470" s="136"/>
      <c r="O470" s="136"/>
      <c r="P470" s="136"/>
      <c r="Q470" s="136"/>
      <c r="R470" s="136"/>
      <c r="S470" s="136"/>
      <c r="T470" s="136"/>
      <c r="U470" s="136"/>
      <c r="V470" s="136"/>
      <c r="W470" s="136"/>
      <c r="X470" s="136"/>
      <c r="Y470" s="136"/>
      <c r="Z470" s="136"/>
      <c r="AA470" s="136"/>
      <c r="AB470" s="136"/>
      <c r="AC470" s="136"/>
      <c r="AD470" s="136"/>
      <c r="AE470" s="355">
        <f t="shared" si="74"/>
        <v>0</v>
      </c>
      <c r="AF470" s="272" t="s">
        <v>761</v>
      </c>
      <c r="AG470" s="136"/>
      <c r="AH470" s="136"/>
      <c r="AI470" s="136"/>
    </row>
    <row r="471" spans="1:35" ht="18.75" customHeight="1" x14ac:dyDescent="0.3">
      <c r="A471" s="281">
        <v>45531</v>
      </c>
      <c r="B471" s="136"/>
      <c r="C471" s="136"/>
      <c r="D471" s="136"/>
      <c r="E471" s="136"/>
      <c r="F471" s="136"/>
      <c r="G471" s="136"/>
      <c r="H471" s="136"/>
      <c r="I471" s="136"/>
      <c r="J471" s="136"/>
      <c r="K471" s="136"/>
      <c r="L471" s="136"/>
      <c r="M471" s="136"/>
      <c r="N471" s="136"/>
      <c r="O471" s="136"/>
      <c r="P471" s="136"/>
      <c r="Q471" s="136"/>
      <c r="R471" s="136"/>
      <c r="S471" s="136"/>
      <c r="T471" s="136"/>
      <c r="U471" s="136"/>
      <c r="V471" s="136"/>
      <c r="W471" s="136"/>
      <c r="X471" s="136"/>
      <c r="Y471" s="136"/>
      <c r="Z471" s="136"/>
      <c r="AA471" s="136"/>
      <c r="AB471" s="136"/>
      <c r="AC471" s="136"/>
      <c r="AD471" s="136"/>
      <c r="AE471" s="355">
        <f t="shared" si="74"/>
        <v>0</v>
      </c>
      <c r="AF471" s="272" t="s">
        <v>324</v>
      </c>
      <c r="AG471" s="136"/>
      <c r="AH471" s="136"/>
      <c r="AI471" s="136"/>
    </row>
    <row r="472" spans="1:35" ht="18.75" customHeight="1" x14ac:dyDescent="0.3">
      <c r="A472" s="281">
        <v>45531</v>
      </c>
      <c r="B472" s="136"/>
      <c r="C472" s="136"/>
      <c r="D472" s="136"/>
      <c r="E472" s="136"/>
      <c r="F472" s="136"/>
      <c r="G472" s="136"/>
      <c r="H472" s="136"/>
      <c r="I472" s="136"/>
      <c r="J472" s="136"/>
      <c r="K472" s="136"/>
      <c r="L472" s="136"/>
      <c r="M472" s="136"/>
      <c r="N472" s="136"/>
      <c r="O472" s="136"/>
      <c r="P472" s="136"/>
      <c r="Q472" s="136"/>
      <c r="R472" s="136"/>
      <c r="S472" s="136"/>
      <c r="T472" s="136"/>
      <c r="U472" s="136"/>
      <c r="V472" s="136"/>
      <c r="W472" s="136"/>
      <c r="X472" s="136"/>
      <c r="Y472" s="136"/>
      <c r="Z472" s="136"/>
      <c r="AA472" s="136"/>
      <c r="AB472" s="136"/>
      <c r="AC472" s="136"/>
      <c r="AD472" s="136"/>
      <c r="AE472" s="355">
        <f t="shared" si="74"/>
        <v>0</v>
      </c>
      <c r="AF472" s="272" t="s">
        <v>762</v>
      </c>
      <c r="AG472" s="136"/>
      <c r="AH472" s="136"/>
      <c r="AI472" s="136"/>
    </row>
    <row r="473" spans="1:35" ht="18.75" customHeight="1" x14ac:dyDescent="0.3">
      <c r="A473" s="281">
        <v>45532</v>
      </c>
      <c r="B473" s="136"/>
      <c r="C473" s="136"/>
      <c r="D473" s="136"/>
      <c r="E473" s="136"/>
      <c r="F473" s="136"/>
      <c r="G473" s="136"/>
      <c r="H473" s="136"/>
      <c r="I473" s="136"/>
      <c r="J473" s="136"/>
      <c r="K473" s="136"/>
      <c r="L473" s="136"/>
      <c r="M473" s="136"/>
      <c r="N473" s="136"/>
      <c r="O473" s="136"/>
      <c r="P473" s="136"/>
      <c r="Q473" s="136"/>
      <c r="R473" s="136"/>
      <c r="S473" s="136"/>
      <c r="T473" s="136"/>
      <c r="U473" s="136"/>
      <c r="V473" s="136"/>
      <c r="W473" s="136"/>
      <c r="X473" s="136"/>
      <c r="Y473" s="136"/>
      <c r="Z473" s="136"/>
      <c r="AA473" s="136"/>
      <c r="AB473" s="136"/>
      <c r="AC473" s="136"/>
      <c r="AD473" s="136"/>
      <c r="AE473" s="355">
        <f t="shared" si="74"/>
        <v>0</v>
      </c>
      <c r="AF473" s="272" t="s">
        <v>763</v>
      </c>
      <c r="AG473" s="136"/>
      <c r="AH473" s="136"/>
      <c r="AI473" s="136"/>
    </row>
    <row r="474" spans="1:35" ht="18.75" customHeight="1" x14ac:dyDescent="0.3">
      <c r="A474" s="281">
        <v>45532</v>
      </c>
      <c r="B474" s="136"/>
      <c r="C474" s="136"/>
      <c r="D474" s="136"/>
      <c r="E474" s="136"/>
      <c r="F474" s="136"/>
      <c r="G474" s="136"/>
      <c r="H474" s="136"/>
      <c r="I474" s="136"/>
      <c r="J474" s="136"/>
      <c r="K474" s="136"/>
      <c r="L474" s="136"/>
      <c r="M474" s="136"/>
      <c r="N474" s="136"/>
      <c r="O474" s="136"/>
      <c r="P474" s="136"/>
      <c r="Q474" s="136"/>
      <c r="R474" s="136"/>
      <c r="S474" s="136"/>
      <c r="T474" s="136"/>
      <c r="U474" s="136"/>
      <c r="V474" s="136"/>
      <c r="W474" s="136"/>
      <c r="X474" s="136"/>
      <c r="Y474" s="136"/>
      <c r="Z474" s="136"/>
      <c r="AA474" s="136"/>
      <c r="AB474" s="136"/>
      <c r="AC474" s="136"/>
      <c r="AD474" s="136"/>
      <c r="AE474" s="355">
        <f t="shared" si="74"/>
        <v>0</v>
      </c>
      <c r="AF474" s="272" t="s">
        <v>764</v>
      </c>
      <c r="AG474" s="136"/>
      <c r="AH474" s="136"/>
      <c r="AI474" s="136"/>
    </row>
    <row r="475" spans="1:35" ht="18.75" customHeight="1" x14ac:dyDescent="0.3">
      <c r="A475" s="281">
        <v>45532</v>
      </c>
      <c r="B475" s="136"/>
      <c r="C475" s="136"/>
      <c r="D475" s="136"/>
      <c r="E475" s="136"/>
      <c r="F475" s="136"/>
      <c r="G475" s="136"/>
      <c r="H475" s="136"/>
      <c r="I475" s="136"/>
      <c r="J475" s="136"/>
      <c r="K475" s="136"/>
      <c r="L475" s="136"/>
      <c r="M475" s="136"/>
      <c r="N475" s="136"/>
      <c r="O475" s="136"/>
      <c r="P475" s="136"/>
      <c r="Q475" s="136"/>
      <c r="R475" s="136"/>
      <c r="S475" s="136"/>
      <c r="T475" s="136"/>
      <c r="U475" s="136"/>
      <c r="V475" s="136"/>
      <c r="W475" s="136"/>
      <c r="X475" s="136"/>
      <c r="Y475" s="136"/>
      <c r="Z475" s="136"/>
      <c r="AA475" s="136"/>
      <c r="AB475" s="136"/>
      <c r="AC475" s="136"/>
      <c r="AD475" s="136"/>
      <c r="AE475" s="355">
        <f t="shared" si="74"/>
        <v>0</v>
      </c>
      <c r="AF475" s="272" t="s">
        <v>765</v>
      </c>
      <c r="AG475" s="136"/>
      <c r="AH475" s="136"/>
      <c r="AI475" s="136"/>
    </row>
    <row r="476" spans="1:35" ht="18.75" customHeight="1" x14ac:dyDescent="0.3">
      <c r="A476" s="281">
        <v>45532</v>
      </c>
      <c r="B476" s="136"/>
      <c r="C476" s="136"/>
      <c r="D476" s="136"/>
      <c r="E476" s="136"/>
      <c r="F476" s="136"/>
      <c r="G476" s="136"/>
      <c r="H476" s="136"/>
      <c r="I476" s="136"/>
      <c r="J476" s="136"/>
      <c r="K476" s="136"/>
      <c r="L476" s="136"/>
      <c r="M476" s="136"/>
      <c r="N476" s="136"/>
      <c r="O476" s="136"/>
      <c r="P476" s="136"/>
      <c r="Q476" s="136"/>
      <c r="R476" s="136"/>
      <c r="S476" s="136"/>
      <c r="T476" s="136"/>
      <c r="U476" s="136"/>
      <c r="V476" s="136"/>
      <c r="W476" s="136"/>
      <c r="X476" s="136"/>
      <c r="Y476" s="136"/>
      <c r="Z476" s="136"/>
      <c r="AA476" s="136"/>
      <c r="AB476" s="136"/>
      <c r="AC476" s="136"/>
      <c r="AD476" s="136"/>
      <c r="AE476" s="355">
        <f t="shared" si="74"/>
        <v>0</v>
      </c>
      <c r="AF476" s="272" t="s">
        <v>766</v>
      </c>
      <c r="AG476" s="136"/>
      <c r="AH476" s="136"/>
      <c r="AI476" s="136"/>
    </row>
    <row r="477" spans="1:35" ht="18.75" customHeight="1" x14ac:dyDescent="0.3">
      <c r="A477" s="281">
        <v>45532</v>
      </c>
      <c r="B477" s="136"/>
      <c r="C477" s="136"/>
      <c r="D477" s="136"/>
      <c r="E477" s="136"/>
      <c r="F477" s="136"/>
      <c r="G477" s="136"/>
      <c r="H477" s="136"/>
      <c r="I477" s="136"/>
      <c r="J477" s="136"/>
      <c r="K477" s="136"/>
      <c r="L477" s="136"/>
      <c r="M477" s="136"/>
      <c r="N477" s="136"/>
      <c r="O477" s="136"/>
      <c r="P477" s="136"/>
      <c r="Q477" s="136"/>
      <c r="R477" s="136"/>
      <c r="S477" s="136"/>
      <c r="T477" s="136"/>
      <c r="U477" s="136"/>
      <c r="V477" s="136"/>
      <c r="W477" s="136"/>
      <c r="X477" s="136"/>
      <c r="Y477" s="136"/>
      <c r="Z477" s="136"/>
      <c r="AA477" s="136"/>
      <c r="AB477" s="136"/>
      <c r="AC477" s="136"/>
      <c r="AD477" s="136"/>
      <c r="AE477" s="355">
        <f t="shared" si="74"/>
        <v>0</v>
      </c>
      <c r="AF477" s="272" t="s">
        <v>767</v>
      </c>
      <c r="AG477" s="136"/>
      <c r="AH477" s="136"/>
      <c r="AI477" s="136"/>
    </row>
    <row r="478" spans="1:35" ht="18.75" customHeight="1" x14ac:dyDescent="0.3">
      <c r="A478" s="281">
        <v>45532</v>
      </c>
      <c r="B478" s="136"/>
      <c r="C478" s="136"/>
      <c r="D478" s="136"/>
      <c r="E478" s="136"/>
      <c r="F478" s="136"/>
      <c r="G478" s="136"/>
      <c r="H478" s="136"/>
      <c r="I478" s="136"/>
      <c r="J478" s="136"/>
      <c r="K478" s="136"/>
      <c r="L478" s="136"/>
      <c r="M478" s="136"/>
      <c r="N478" s="136"/>
      <c r="O478" s="136"/>
      <c r="P478" s="136"/>
      <c r="Q478" s="136"/>
      <c r="R478" s="136"/>
      <c r="S478" s="136"/>
      <c r="T478" s="136"/>
      <c r="U478" s="136"/>
      <c r="V478" s="136"/>
      <c r="W478" s="136"/>
      <c r="X478" s="136"/>
      <c r="Y478" s="136"/>
      <c r="Z478" s="136"/>
      <c r="AA478" s="136"/>
      <c r="AB478" s="136"/>
      <c r="AC478" s="136"/>
      <c r="AD478" s="136"/>
      <c r="AE478" s="355">
        <f t="shared" si="74"/>
        <v>0</v>
      </c>
      <c r="AF478" s="272" t="s">
        <v>768</v>
      </c>
      <c r="AG478" s="136"/>
      <c r="AH478" s="136"/>
      <c r="AI478" s="136"/>
    </row>
    <row r="479" spans="1:35" ht="18.75" customHeight="1" x14ac:dyDescent="0.3">
      <c r="A479" s="281">
        <v>45532</v>
      </c>
      <c r="B479" s="136"/>
      <c r="C479" s="136"/>
      <c r="D479" s="136"/>
      <c r="E479" s="136"/>
      <c r="F479" s="136"/>
      <c r="G479" s="136"/>
      <c r="H479" s="136"/>
      <c r="I479" s="136"/>
      <c r="J479" s="136"/>
      <c r="K479" s="136"/>
      <c r="L479" s="136"/>
      <c r="M479" s="136"/>
      <c r="N479" s="136"/>
      <c r="O479" s="136"/>
      <c r="P479" s="136"/>
      <c r="Q479" s="136"/>
      <c r="R479" s="136"/>
      <c r="S479" s="136"/>
      <c r="T479" s="136"/>
      <c r="U479" s="136"/>
      <c r="V479" s="136"/>
      <c r="W479" s="136"/>
      <c r="X479" s="136"/>
      <c r="Y479" s="136"/>
      <c r="Z479" s="136"/>
      <c r="AA479" s="136"/>
      <c r="AB479" s="136"/>
      <c r="AC479" s="136"/>
      <c r="AD479" s="136"/>
      <c r="AE479" s="355">
        <f t="shared" si="74"/>
        <v>0</v>
      </c>
      <c r="AF479" s="272" t="s">
        <v>769</v>
      </c>
      <c r="AG479" s="136"/>
      <c r="AH479" s="136"/>
      <c r="AI479" s="136"/>
    </row>
    <row r="480" spans="1:35" ht="18.75" customHeight="1" x14ac:dyDescent="0.3">
      <c r="A480" s="342" t="s">
        <v>1008</v>
      </c>
      <c r="B480" s="136"/>
      <c r="C480" s="136"/>
      <c r="D480" s="136"/>
      <c r="E480" s="136"/>
      <c r="F480" s="136"/>
      <c r="G480" s="136"/>
      <c r="H480" s="136"/>
      <c r="I480" s="136"/>
      <c r="J480" s="136"/>
      <c r="K480" s="136"/>
      <c r="L480" s="136"/>
      <c r="M480" s="136"/>
      <c r="N480" s="136"/>
      <c r="O480" s="136"/>
      <c r="P480" s="136"/>
      <c r="Q480" s="136"/>
      <c r="R480" s="136"/>
      <c r="S480" s="136"/>
      <c r="T480" s="136"/>
      <c r="U480" s="136"/>
      <c r="V480" s="136"/>
      <c r="W480" s="136"/>
      <c r="X480" s="136"/>
      <c r="Y480" s="136"/>
      <c r="Z480" s="136"/>
      <c r="AA480" s="136"/>
      <c r="AB480" s="136"/>
      <c r="AC480" s="136"/>
      <c r="AD480" s="136"/>
      <c r="AE480" s="355">
        <f t="shared" si="74"/>
        <v>0</v>
      </c>
      <c r="AF480" s="272" t="s">
        <v>1009</v>
      </c>
      <c r="AG480" s="136"/>
      <c r="AH480" s="136"/>
      <c r="AI480" s="136"/>
    </row>
    <row r="481" spans="1:35" ht="18.75" customHeight="1" x14ac:dyDescent="0.3">
      <c r="A481" s="281">
        <v>45533</v>
      </c>
      <c r="B481" s="136"/>
      <c r="C481" s="136"/>
      <c r="D481" s="136"/>
      <c r="E481" s="136"/>
      <c r="F481" s="136"/>
      <c r="G481" s="136"/>
      <c r="H481" s="136"/>
      <c r="I481" s="136"/>
      <c r="J481" s="136"/>
      <c r="K481" s="136"/>
      <c r="L481" s="136"/>
      <c r="M481" s="136"/>
      <c r="N481" s="136"/>
      <c r="O481" s="136"/>
      <c r="P481" s="136"/>
      <c r="Q481" s="136"/>
      <c r="R481" s="136"/>
      <c r="S481" s="136"/>
      <c r="T481" s="136"/>
      <c r="U481" s="136"/>
      <c r="V481" s="136"/>
      <c r="W481" s="136"/>
      <c r="X481" s="136"/>
      <c r="Y481" s="136"/>
      <c r="Z481" s="136"/>
      <c r="AA481" s="136"/>
      <c r="AB481" s="136"/>
      <c r="AC481" s="136"/>
      <c r="AD481" s="136"/>
      <c r="AE481" s="355">
        <f t="shared" si="74"/>
        <v>0</v>
      </c>
      <c r="AF481" s="272" t="s">
        <v>770</v>
      </c>
      <c r="AG481" s="136"/>
      <c r="AH481" s="136"/>
      <c r="AI481" s="136"/>
    </row>
    <row r="482" spans="1:35" ht="18.75" customHeight="1" x14ac:dyDescent="0.3">
      <c r="A482" s="281"/>
      <c r="B482" s="136"/>
      <c r="C482" s="136"/>
      <c r="D482" s="136"/>
      <c r="E482" s="136"/>
      <c r="F482" s="136"/>
      <c r="G482" s="136"/>
      <c r="H482" s="136"/>
      <c r="I482" s="136"/>
      <c r="J482" s="136"/>
      <c r="K482" s="136"/>
      <c r="L482" s="136"/>
      <c r="M482" s="136"/>
      <c r="N482" s="136"/>
      <c r="O482" s="136"/>
      <c r="P482" s="136"/>
      <c r="Q482" s="136"/>
      <c r="R482" s="136"/>
      <c r="S482" s="136"/>
      <c r="T482" s="136"/>
      <c r="U482" s="136"/>
      <c r="V482" s="136"/>
      <c r="W482" s="136"/>
      <c r="X482" s="136"/>
      <c r="Y482" s="136"/>
      <c r="Z482" s="136"/>
      <c r="AA482" s="136"/>
      <c r="AB482" s="136"/>
      <c r="AC482" s="136"/>
      <c r="AD482" s="136"/>
      <c r="AE482" s="313"/>
      <c r="AF482" s="272"/>
      <c r="AG482" s="136"/>
      <c r="AH482" s="136"/>
      <c r="AI482" s="136"/>
    </row>
    <row r="483" spans="1:35" ht="18.75" customHeight="1" x14ac:dyDescent="0.3">
      <c r="A483" s="281"/>
      <c r="B483" s="136"/>
      <c r="C483" s="136"/>
      <c r="D483" s="136"/>
      <c r="E483" s="136"/>
      <c r="F483" s="136"/>
      <c r="G483" s="136"/>
      <c r="H483" s="136"/>
      <c r="I483" s="136"/>
      <c r="J483" s="136"/>
      <c r="K483" s="136"/>
      <c r="L483" s="136"/>
      <c r="M483" s="136"/>
      <c r="N483" s="136"/>
      <c r="O483" s="136"/>
      <c r="P483" s="136"/>
      <c r="Q483" s="136"/>
      <c r="R483" s="136"/>
      <c r="S483" s="136"/>
      <c r="T483" s="136"/>
      <c r="U483" s="136"/>
      <c r="V483" s="136"/>
      <c r="W483" s="136"/>
      <c r="X483" s="136"/>
      <c r="Y483" s="136"/>
      <c r="Z483" s="136"/>
      <c r="AA483" s="136"/>
      <c r="AB483" s="136"/>
      <c r="AC483" s="136"/>
      <c r="AD483" s="136"/>
      <c r="AE483" s="313"/>
      <c r="AF483" s="272"/>
      <c r="AG483" s="136"/>
      <c r="AH483" s="136"/>
      <c r="AI483" s="136"/>
    </row>
    <row r="484" spans="1:35" ht="18.75" customHeight="1" x14ac:dyDescent="0.3">
      <c r="A484" s="281"/>
      <c r="B484" s="136"/>
      <c r="C484" s="136"/>
      <c r="D484" s="136"/>
      <c r="E484" s="136"/>
      <c r="F484" s="136"/>
      <c r="G484" s="136"/>
      <c r="H484" s="136"/>
      <c r="I484" s="136"/>
      <c r="J484" s="136"/>
      <c r="K484" s="136"/>
      <c r="L484" s="136"/>
      <c r="M484" s="136"/>
      <c r="N484" s="136"/>
      <c r="O484" s="136"/>
      <c r="P484" s="136"/>
      <c r="Q484" s="136"/>
      <c r="R484" s="136"/>
      <c r="S484" s="136"/>
      <c r="T484" s="136"/>
      <c r="U484" s="136"/>
      <c r="V484" s="136"/>
      <c r="W484" s="136"/>
      <c r="X484" s="136"/>
      <c r="Y484" s="136"/>
      <c r="Z484" s="136"/>
      <c r="AA484" s="136"/>
      <c r="AB484" s="136"/>
      <c r="AC484" s="136"/>
      <c r="AD484" s="136"/>
      <c r="AE484" s="313"/>
      <c r="AF484" s="272"/>
      <c r="AG484" s="136"/>
      <c r="AH484" s="136"/>
      <c r="AI484" s="136"/>
    </row>
    <row r="485" spans="1:35" ht="18.75" customHeight="1" x14ac:dyDescent="0.3">
      <c r="A485" s="281"/>
      <c r="B485" s="136"/>
      <c r="C485" s="136"/>
      <c r="D485" s="136"/>
      <c r="E485" s="136"/>
      <c r="F485" s="136"/>
      <c r="G485" s="136"/>
      <c r="H485" s="136"/>
      <c r="I485" s="136"/>
      <c r="J485" s="136"/>
      <c r="K485" s="136"/>
      <c r="L485" s="136"/>
      <c r="M485" s="136"/>
      <c r="N485" s="136"/>
      <c r="O485" s="136"/>
      <c r="P485" s="136"/>
      <c r="Q485" s="136"/>
      <c r="R485" s="136"/>
      <c r="S485" s="136"/>
      <c r="T485" s="136"/>
      <c r="U485" s="136"/>
      <c r="V485" s="136"/>
      <c r="W485" s="136"/>
      <c r="X485" s="136"/>
      <c r="Y485" s="136"/>
      <c r="Z485" s="136"/>
      <c r="AA485" s="136"/>
      <c r="AB485" s="136"/>
      <c r="AC485" s="136"/>
      <c r="AD485" s="136"/>
      <c r="AE485" s="313"/>
      <c r="AF485" s="272"/>
      <c r="AG485" s="136"/>
      <c r="AH485" s="136"/>
      <c r="AI485" s="136"/>
    </row>
    <row r="486" spans="1:35" ht="18.75" customHeight="1" x14ac:dyDescent="0.3">
      <c r="A486" s="281"/>
      <c r="B486" s="136"/>
      <c r="C486" s="136"/>
      <c r="D486" s="136"/>
      <c r="E486" s="136"/>
      <c r="F486" s="136"/>
      <c r="G486" s="136"/>
      <c r="H486" s="136"/>
      <c r="I486" s="136"/>
      <c r="J486" s="136"/>
      <c r="K486" s="136"/>
      <c r="L486" s="136"/>
      <c r="M486" s="136"/>
      <c r="N486" s="136"/>
      <c r="O486" s="136"/>
      <c r="P486" s="136"/>
      <c r="Q486" s="136"/>
      <c r="R486" s="136"/>
      <c r="S486" s="136"/>
      <c r="T486" s="136"/>
      <c r="U486" s="136"/>
      <c r="V486" s="136"/>
      <c r="W486" s="136"/>
      <c r="X486" s="136"/>
      <c r="Y486" s="136"/>
      <c r="Z486" s="136"/>
      <c r="AA486" s="136"/>
      <c r="AB486" s="136"/>
      <c r="AC486" s="136"/>
      <c r="AD486" s="136"/>
      <c r="AE486" s="313">
        <f>SUM(B486:AD486)</f>
        <v>0</v>
      </c>
      <c r="AF486" s="272"/>
      <c r="AG486" s="136"/>
      <c r="AH486" s="136"/>
      <c r="AI486" s="136"/>
    </row>
    <row r="487" spans="1:35" ht="18.75" customHeight="1" x14ac:dyDescent="0.3">
      <c r="A487" s="287" t="s">
        <v>253</v>
      </c>
      <c r="B487" s="279">
        <f t="shared" ref="B487:AD487" si="75">SUM(B427:B486)</f>
        <v>0</v>
      </c>
      <c r="C487" s="279">
        <f t="shared" si="75"/>
        <v>0</v>
      </c>
      <c r="D487" s="279">
        <f t="shared" si="75"/>
        <v>0</v>
      </c>
      <c r="E487" s="279">
        <f t="shared" si="75"/>
        <v>0</v>
      </c>
      <c r="F487" s="279">
        <f t="shared" si="75"/>
        <v>0</v>
      </c>
      <c r="G487" s="279">
        <f t="shared" si="75"/>
        <v>0</v>
      </c>
      <c r="H487" s="279">
        <f t="shared" si="75"/>
        <v>0</v>
      </c>
      <c r="I487" s="279">
        <f t="shared" si="75"/>
        <v>0</v>
      </c>
      <c r="J487" s="279">
        <f t="shared" si="75"/>
        <v>0</v>
      </c>
      <c r="K487" s="279">
        <f t="shared" si="75"/>
        <v>0</v>
      </c>
      <c r="L487" s="279">
        <f t="shared" si="75"/>
        <v>0</v>
      </c>
      <c r="M487" s="279">
        <f t="shared" si="75"/>
        <v>0</v>
      </c>
      <c r="N487" s="279">
        <f t="shared" si="75"/>
        <v>0</v>
      </c>
      <c r="O487" s="279">
        <f t="shared" si="75"/>
        <v>0</v>
      </c>
      <c r="P487" s="279">
        <f t="shared" si="75"/>
        <v>0</v>
      </c>
      <c r="Q487" s="279">
        <f t="shared" si="75"/>
        <v>0</v>
      </c>
      <c r="R487" s="279">
        <f t="shared" si="75"/>
        <v>0</v>
      </c>
      <c r="S487" s="279">
        <f t="shared" si="75"/>
        <v>0</v>
      </c>
      <c r="T487" s="279">
        <f t="shared" si="75"/>
        <v>0</v>
      </c>
      <c r="U487" s="279">
        <f t="shared" si="75"/>
        <v>0</v>
      </c>
      <c r="V487" s="279">
        <f t="shared" si="75"/>
        <v>0</v>
      </c>
      <c r="W487" s="279">
        <f t="shared" si="75"/>
        <v>0</v>
      </c>
      <c r="X487" s="279">
        <f t="shared" si="75"/>
        <v>0</v>
      </c>
      <c r="Y487" s="279">
        <f t="shared" si="75"/>
        <v>0</v>
      </c>
      <c r="Z487" s="279">
        <f t="shared" ref="Z487:AA487" si="76">SUM(Z427:Z486)</f>
        <v>0</v>
      </c>
      <c r="AA487" s="279">
        <f t="shared" si="76"/>
        <v>0</v>
      </c>
      <c r="AB487" s="279">
        <f t="shared" si="75"/>
        <v>0</v>
      </c>
      <c r="AC487" s="279">
        <f t="shared" si="75"/>
        <v>0</v>
      </c>
      <c r="AD487" s="279">
        <f t="shared" si="75"/>
        <v>0</v>
      </c>
      <c r="AE487" s="280">
        <f>SUM(B487:AD487)</f>
        <v>0</v>
      </c>
      <c r="AF487" s="339"/>
      <c r="AG487" s="340"/>
      <c r="AH487" s="340"/>
      <c r="AI487" s="340"/>
    </row>
    <row r="488" spans="1:35" ht="18.75" customHeight="1" x14ac:dyDescent="0.3">
      <c r="A488" s="287" t="s">
        <v>254</v>
      </c>
      <c r="B488" s="279">
        <f t="shared" ref="B488:AD488" si="77">SUM(B425+B487)</f>
        <v>51061.2</v>
      </c>
      <c r="C488" s="279">
        <f t="shared" si="77"/>
        <v>104149.33</v>
      </c>
      <c r="D488" s="279">
        <f t="shared" si="77"/>
        <v>3500</v>
      </c>
      <c r="E488" s="279">
        <f t="shared" si="77"/>
        <v>0</v>
      </c>
      <c r="F488" s="279">
        <f t="shared" si="77"/>
        <v>0</v>
      </c>
      <c r="G488" s="279">
        <f t="shared" si="77"/>
        <v>2600</v>
      </c>
      <c r="H488" s="279">
        <f t="shared" si="77"/>
        <v>0</v>
      </c>
      <c r="I488" s="279">
        <f t="shared" si="77"/>
        <v>49458</v>
      </c>
      <c r="J488" s="279">
        <f t="shared" si="77"/>
        <v>320434.92000000004</v>
      </c>
      <c r="K488" s="279">
        <f t="shared" si="77"/>
        <v>15200</v>
      </c>
      <c r="L488" s="279">
        <f t="shared" si="77"/>
        <v>66867</v>
      </c>
      <c r="M488" s="279">
        <f t="shared" si="77"/>
        <v>41505</v>
      </c>
      <c r="N488" s="279">
        <f t="shared" si="77"/>
        <v>0</v>
      </c>
      <c r="O488" s="279">
        <f t="shared" si="77"/>
        <v>0</v>
      </c>
      <c r="P488" s="279">
        <f t="shared" si="77"/>
        <v>0</v>
      </c>
      <c r="Q488" s="279">
        <f t="shared" si="77"/>
        <v>53499</v>
      </c>
      <c r="R488" s="279">
        <f t="shared" si="77"/>
        <v>27285</v>
      </c>
      <c r="S488" s="279">
        <f t="shared" si="77"/>
        <v>0</v>
      </c>
      <c r="T488" s="279">
        <f t="shared" si="77"/>
        <v>39162</v>
      </c>
      <c r="U488" s="279">
        <f t="shared" si="77"/>
        <v>270000</v>
      </c>
      <c r="V488" s="279">
        <f t="shared" si="77"/>
        <v>0</v>
      </c>
      <c r="W488" s="279">
        <f t="shared" si="77"/>
        <v>24824</v>
      </c>
      <c r="X488" s="279">
        <f t="shared" si="77"/>
        <v>75836.25</v>
      </c>
      <c r="Y488" s="279">
        <f t="shared" si="77"/>
        <v>0</v>
      </c>
      <c r="Z488" s="279">
        <f t="shared" ref="Z488:AA488" si="78">SUM(Z425+Z487)</f>
        <v>0</v>
      </c>
      <c r="AA488" s="279">
        <f t="shared" si="78"/>
        <v>0</v>
      </c>
      <c r="AB488" s="279">
        <f t="shared" si="77"/>
        <v>83280.240000000005</v>
      </c>
      <c r="AC488" s="279">
        <f t="shared" si="77"/>
        <v>131660.71</v>
      </c>
      <c r="AD488" s="279">
        <f t="shared" si="77"/>
        <v>0</v>
      </c>
      <c r="AE488" s="280">
        <f>SUM(B488:AD488)</f>
        <v>1360322.6500000001</v>
      </c>
      <c r="AF488" s="308"/>
      <c r="AG488" s="195"/>
      <c r="AH488" s="195"/>
      <c r="AI488" s="195"/>
    </row>
    <row r="489" spans="1:35" ht="18.75" customHeight="1" x14ac:dyDescent="0.3">
      <c r="A489" s="287" t="s">
        <v>255</v>
      </c>
      <c r="B489" s="279">
        <f t="shared" ref="B489:AD489" si="79">SUM(B426-B487)</f>
        <v>515738.8</v>
      </c>
      <c r="C489" s="279">
        <f t="shared" si="79"/>
        <v>45850.669999999991</v>
      </c>
      <c r="D489" s="279">
        <f t="shared" si="79"/>
        <v>324500</v>
      </c>
      <c r="E489" s="279">
        <f t="shared" si="79"/>
        <v>0</v>
      </c>
      <c r="F489" s="279">
        <f t="shared" si="79"/>
        <v>0</v>
      </c>
      <c r="G489" s="279">
        <f t="shared" si="79"/>
        <v>-2600</v>
      </c>
      <c r="H489" s="279">
        <f t="shared" si="79"/>
        <v>0</v>
      </c>
      <c r="I489" s="279">
        <f t="shared" si="79"/>
        <v>198442</v>
      </c>
      <c r="J489" s="279">
        <f t="shared" si="79"/>
        <v>-320434.92000000004</v>
      </c>
      <c r="K489" s="279">
        <f t="shared" si="79"/>
        <v>-15200</v>
      </c>
      <c r="L489" s="279">
        <f t="shared" si="79"/>
        <v>183133</v>
      </c>
      <c r="M489" s="279">
        <f t="shared" si="79"/>
        <v>98495</v>
      </c>
      <c r="N489" s="279">
        <f t="shared" si="79"/>
        <v>0</v>
      </c>
      <c r="O489" s="279">
        <f t="shared" si="79"/>
        <v>0</v>
      </c>
      <c r="P489" s="279">
        <f t="shared" si="79"/>
        <v>0</v>
      </c>
      <c r="Q489" s="279">
        <f t="shared" si="79"/>
        <v>160501</v>
      </c>
      <c r="R489" s="279">
        <f t="shared" si="79"/>
        <v>361660</v>
      </c>
      <c r="S489" s="279">
        <f t="shared" si="79"/>
        <v>74900</v>
      </c>
      <c r="T489" s="279">
        <f t="shared" si="79"/>
        <v>1154497</v>
      </c>
      <c r="U489" s="279">
        <f t="shared" si="79"/>
        <v>1234800</v>
      </c>
      <c r="V489" s="279">
        <f t="shared" si="79"/>
        <v>189600</v>
      </c>
      <c r="W489" s="279">
        <f t="shared" si="79"/>
        <v>74472</v>
      </c>
      <c r="X489" s="279">
        <f t="shared" si="79"/>
        <v>84163.75</v>
      </c>
      <c r="Y489" s="279">
        <f t="shared" si="79"/>
        <v>8500000</v>
      </c>
      <c r="Z489" s="279">
        <f t="shared" ref="Z489:AA489" si="80">SUM(Z426-Z487)</f>
        <v>716400</v>
      </c>
      <c r="AA489" s="279">
        <f t="shared" si="80"/>
        <v>1113800</v>
      </c>
      <c r="AB489" s="279">
        <f t="shared" si="79"/>
        <v>91519.75999999998</v>
      </c>
      <c r="AC489" s="279">
        <f t="shared" si="79"/>
        <v>66339.290000000008</v>
      </c>
      <c r="AD489" s="279">
        <f t="shared" si="79"/>
        <v>0</v>
      </c>
      <c r="AE489" s="280">
        <f>SUM(B489:AD489)</f>
        <v>14850577.35</v>
      </c>
      <c r="AF489" s="308"/>
      <c r="AG489" s="195"/>
      <c r="AH489" s="195"/>
      <c r="AI489" s="195"/>
    </row>
    <row r="490" spans="1:35" ht="18.75" customHeight="1" x14ac:dyDescent="0.3">
      <c r="A490" s="284" t="s">
        <v>256</v>
      </c>
      <c r="B490" s="136"/>
      <c r="C490" s="136"/>
      <c r="D490" s="136"/>
      <c r="E490" s="136"/>
      <c r="F490" s="136"/>
      <c r="G490" s="136"/>
      <c r="H490" s="136"/>
      <c r="I490" s="136"/>
      <c r="J490" s="136"/>
      <c r="K490" s="136"/>
      <c r="L490" s="136"/>
      <c r="M490" s="136"/>
      <c r="N490" s="136"/>
      <c r="O490" s="136"/>
      <c r="P490" s="136"/>
      <c r="Q490" s="136"/>
      <c r="R490" s="136"/>
      <c r="S490" s="136"/>
      <c r="T490" s="136"/>
      <c r="U490" s="136"/>
      <c r="V490" s="136"/>
      <c r="W490" s="136"/>
      <c r="X490" s="136"/>
      <c r="Y490" s="136"/>
      <c r="Z490" s="136"/>
      <c r="AA490" s="136"/>
      <c r="AB490" s="136"/>
      <c r="AC490" s="136"/>
      <c r="AD490" s="136"/>
      <c r="AE490" s="145"/>
      <c r="AF490" s="272"/>
      <c r="AG490" s="136"/>
      <c r="AH490" s="136"/>
      <c r="AI490" s="136"/>
    </row>
    <row r="491" spans="1:35" ht="18.75" customHeight="1" x14ac:dyDescent="0.3">
      <c r="A491" s="281">
        <v>45534</v>
      </c>
      <c r="B491" s="136"/>
      <c r="C491" s="136"/>
      <c r="D491" s="136"/>
      <c r="E491" s="136"/>
      <c r="F491" s="136"/>
      <c r="G491" s="136"/>
      <c r="H491" s="136"/>
      <c r="I491" s="136"/>
      <c r="J491" s="136"/>
      <c r="K491" s="136"/>
      <c r="L491" s="136"/>
      <c r="M491" s="136"/>
      <c r="N491" s="136"/>
      <c r="O491" s="136"/>
      <c r="P491" s="136"/>
      <c r="Q491" s="136"/>
      <c r="R491" s="136"/>
      <c r="S491" s="136"/>
      <c r="T491" s="136"/>
      <c r="U491" s="136"/>
      <c r="V491" s="136"/>
      <c r="W491" s="136"/>
      <c r="X491" s="136"/>
      <c r="Y491" s="136"/>
      <c r="Z491" s="136"/>
      <c r="AA491" s="136"/>
      <c r="AB491" s="136"/>
      <c r="AC491" s="136"/>
      <c r="AD491" s="136"/>
      <c r="AE491" s="355">
        <f t="shared" ref="AE491:AE522" si="81">SUM(B491:AD491)</f>
        <v>0</v>
      </c>
      <c r="AF491" s="1228" t="s">
        <v>1192</v>
      </c>
      <c r="AG491" s="1198"/>
      <c r="AH491" s="1198"/>
      <c r="AI491" s="1198"/>
    </row>
    <row r="492" spans="1:35" ht="18.75" customHeight="1" x14ac:dyDescent="0.3">
      <c r="A492" s="281">
        <v>45537</v>
      </c>
      <c r="B492" s="136"/>
      <c r="C492" s="136"/>
      <c r="D492" s="136"/>
      <c r="E492" s="136"/>
      <c r="F492" s="136"/>
      <c r="G492" s="136"/>
      <c r="H492" s="136"/>
      <c r="I492" s="136"/>
      <c r="J492" s="136"/>
      <c r="K492" s="136"/>
      <c r="L492" s="136"/>
      <c r="M492" s="136"/>
      <c r="N492" s="136"/>
      <c r="O492" s="136"/>
      <c r="P492" s="136"/>
      <c r="Q492" s="136"/>
      <c r="R492" s="136"/>
      <c r="S492" s="136"/>
      <c r="T492" s="136"/>
      <c r="U492" s="136"/>
      <c r="V492" s="136"/>
      <c r="W492" s="136"/>
      <c r="X492" s="136"/>
      <c r="Y492" s="136"/>
      <c r="Z492" s="136"/>
      <c r="AA492" s="136"/>
      <c r="AB492" s="136"/>
      <c r="AC492" s="136"/>
      <c r="AD492" s="136"/>
      <c r="AE492" s="355">
        <f t="shared" si="81"/>
        <v>0</v>
      </c>
      <c r="AF492" s="272" t="s">
        <v>1017</v>
      </c>
      <c r="AG492" s="136"/>
      <c r="AH492" s="136"/>
      <c r="AI492" s="136"/>
    </row>
    <row r="493" spans="1:35" ht="18.75" customHeight="1" x14ac:dyDescent="0.3">
      <c r="A493" s="281">
        <v>45537</v>
      </c>
      <c r="B493" s="136"/>
      <c r="C493" s="136"/>
      <c r="D493" s="136"/>
      <c r="E493" s="136"/>
      <c r="F493" s="136"/>
      <c r="G493" s="136"/>
      <c r="H493" s="136"/>
      <c r="I493" s="136"/>
      <c r="J493" s="136"/>
      <c r="K493" s="136"/>
      <c r="L493" s="136"/>
      <c r="M493" s="136"/>
      <c r="N493" s="136"/>
      <c r="O493" s="136"/>
      <c r="P493" s="136"/>
      <c r="Q493" s="136"/>
      <c r="R493" s="136"/>
      <c r="S493" s="136"/>
      <c r="T493" s="136"/>
      <c r="U493" s="136"/>
      <c r="V493" s="136"/>
      <c r="W493" s="136"/>
      <c r="X493" s="136"/>
      <c r="Y493" s="136"/>
      <c r="Z493" s="136"/>
      <c r="AA493" s="136"/>
      <c r="AB493" s="136"/>
      <c r="AC493" s="136"/>
      <c r="AD493" s="136"/>
      <c r="AE493" s="355">
        <f t="shared" si="81"/>
        <v>0</v>
      </c>
      <c r="AF493" s="272" t="s">
        <v>1020</v>
      </c>
      <c r="AG493" s="136"/>
      <c r="AH493" s="136"/>
      <c r="AI493" s="136"/>
    </row>
    <row r="494" spans="1:35" ht="18.75" customHeight="1" x14ac:dyDescent="0.3">
      <c r="A494" s="281">
        <v>45537</v>
      </c>
      <c r="B494" s="136"/>
      <c r="C494" s="136"/>
      <c r="D494" s="136"/>
      <c r="E494" s="136"/>
      <c r="F494" s="136"/>
      <c r="G494" s="136"/>
      <c r="H494" s="136"/>
      <c r="I494" s="136"/>
      <c r="J494" s="136"/>
      <c r="K494" s="136"/>
      <c r="L494" s="136"/>
      <c r="M494" s="136"/>
      <c r="N494" s="136"/>
      <c r="O494" s="136"/>
      <c r="P494" s="136"/>
      <c r="Q494" s="136"/>
      <c r="R494" s="136"/>
      <c r="S494" s="136"/>
      <c r="T494" s="136"/>
      <c r="U494" s="136"/>
      <c r="V494" s="136"/>
      <c r="W494" s="136"/>
      <c r="X494" s="136"/>
      <c r="Y494" s="136"/>
      <c r="Z494" s="136"/>
      <c r="AA494" s="136"/>
      <c r="AB494" s="136"/>
      <c r="AC494" s="136"/>
      <c r="AD494" s="136"/>
      <c r="AE494" s="355">
        <f t="shared" si="81"/>
        <v>0</v>
      </c>
      <c r="AF494" s="272" t="s">
        <v>1021</v>
      </c>
      <c r="AG494" s="136"/>
      <c r="AH494" s="136"/>
      <c r="AI494" s="136"/>
    </row>
    <row r="495" spans="1:35" ht="18.75" customHeight="1" x14ac:dyDescent="0.3">
      <c r="A495" s="281">
        <v>45537</v>
      </c>
      <c r="B495" s="136"/>
      <c r="C495" s="136"/>
      <c r="D495" s="136"/>
      <c r="E495" s="136"/>
      <c r="F495" s="136"/>
      <c r="G495" s="136"/>
      <c r="H495" s="136"/>
      <c r="I495" s="136"/>
      <c r="J495" s="136"/>
      <c r="K495" s="136"/>
      <c r="L495" s="136"/>
      <c r="M495" s="136"/>
      <c r="N495" s="136"/>
      <c r="O495" s="136"/>
      <c r="P495" s="136"/>
      <c r="Q495" s="136"/>
      <c r="R495" s="136"/>
      <c r="S495" s="136"/>
      <c r="T495" s="136"/>
      <c r="U495" s="136"/>
      <c r="V495" s="136"/>
      <c r="W495" s="136"/>
      <c r="X495" s="136"/>
      <c r="Y495" s="136"/>
      <c r="Z495" s="136"/>
      <c r="AA495" s="136"/>
      <c r="AB495" s="136"/>
      <c r="AC495" s="136"/>
      <c r="AD495" s="136"/>
      <c r="AE495" s="355">
        <f t="shared" si="81"/>
        <v>0</v>
      </c>
      <c r="AF495" s="272" t="s">
        <v>1022</v>
      </c>
      <c r="AG495" s="136"/>
      <c r="AH495" s="136"/>
      <c r="AI495" s="136"/>
    </row>
    <row r="496" spans="1:35" ht="18.75" customHeight="1" x14ac:dyDescent="0.3">
      <c r="A496" s="281">
        <v>45537</v>
      </c>
      <c r="B496" s="136"/>
      <c r="C496" s="136"/>
      <c r="D496" s="136"/>
      <c r="E496" s="136"/>
      <c r="F496" s="136"/>
      <c r="G496" s="136"/>
      <c r="H496" s="136"/>
      <c r="I496" s="136"/>
      <c r="J496" s="136"/>
      <c r="K496" s="136"/>
      <c r="L496" s="136"/>
      <c r="M496" s="136"/>
      <c r="N496" s="136"/>
      <c r="O496" s="136"/>
      <c r="P496" s="136"/>
      <c r="Q496" s="136"/>
      <c r="R496" s="136"/>
      <c r="S496" s="136"/>
      <c r="T496" s="136"/>
      <c r="U496" s="136"/>
      <c r="V496" s="136"/>
      <c r="W496" s="136"/>
      <c r="X496" s="136"/>
      <c r="Y496" s="136"/>
      <c r="Z496" s="136"/>
      <c r="AA496" s="136"/>
      <c r="AB496" s="136"/>
      <c r="AC496" s="136"/>
      <c r="AD496" s="136"/>
      <c r="AE496" s="355">
        <f t="shared" si="81"/>
        <v>0</v>
      </c>
      <c r="AF496" s="272" t="s">
        <v>1024</v>
      </c>
      <c r="AG496" s="136"/>
      <c r="AH496" s="136"/>
      <c r="AI496" s="136"/>
    </row>
    <row r="497" spans="1:35" ht="18.75" customHeight="1" x14ac:dyDescent="0.3">
      <c r="A497" s="281">
        <v>45537</v>
      </c>
      <c r="B497" s="136"/>
      <c r="C497" s="136"/>
      <c r="D497" s="136"/>
      <c r="E497" s="136"/>
      <c r="F497" s="136"/>
      <c r="G497" s="136"/>
      <c r="H497" s="136"/>
      <c r="I497" s="136"/>
      <c r="J497" s="136"/>
      <c r="K497" s="136"/>
      <c r="L497" s="136"/>
      <c r="M497" s="136"/>
      <c r="N497" s="136"/>
      <c r="O497" s="136"/>
      <c r="P497" s="136"/>
      <c r="Q497" s="136"/>
      <c r="R497" s="136"/>
      <c r="S497" s="136"/>
      <c r="T497" s="136"/>
      <c r="U497" s="136"/>
      <c r="V497" s="136"/>
      <c r="W497" s="136"/>
      <c r="X497" s="136"/>
      <c r="Y497" s="136"/>
      <c r="Z497" s="136"/>
      <c r="AA497" s="136"/>
      <c r="AB497" s="136"/>
      <c r="AC497" s="136"/>
      <c r="AD497" s="136"/>
      <c r="AE497" s="355">
        <f t="shared" si="81"/>
        <v>0</v>
      </c>
      <c r="AF497" s="272" t="s">
        <v>1027</v>
      </c>
      <c r="AG497" s="138"/>
      <c r="AH497" s="138"/>
      <c r="AI497" s="138"/>
    </row>
    <row r="498" spans="1:35" ht="18.75" customHeight="1" x14ac:dyDescent="0.3">
      <c r="A498" s="281">
        <v>45537</v>
      </c>
      <c r="B498" s="136"/>
      <c r="C498" s="136"/>
      <c r="D498" s="136"/>
      <c r="E498" s="136"/>
      <c r="F498" s="136"/>
      <c r="G498" s="136"/>
      <c r="H498" s="136"/>
      <c r="I498" s="136"/>
      <c r="J498" s="136"/>
      <c r="K498" s="136"/>
      <c r="L498" s="136"/>
      <c r="M498" s="136"/>
      <c r="N498" s="136"/>
      <c r="O498" s="136"/>
      <c r="P498" s="136"/>
      <c r="Q498" s="136"/>
      <c r="R498" s="136"/>
      <c r="S498" s="136"/>
      <c r="T498" s="136"/>
      <c r="U498" s="136"/>
      <c r="V498" s="136"/>
      <c r="W498" s="136"/>
      <c r="X498" s="136"/>
      <c r="Y498" s="136"/>
      <c r="Z498" s="136"/>
      <c r="AA498" s="136"/>
      <c r="AB498" s="136"/>
      <c r="AC498" s="136"/>
      <c r="AD498" s="136"/>
      <c r="AE498" s="355">
        <f t="shared" si="81"/>
        <v>0</v>
      </c>
      <c r="AF498" s="272" t="s">
        <v>1028</v>
      </c>
      <c r="AG498" s="138"/>
      <c r="AH498" s="138"/>
      <c r="AI498" s="138"/>
    </row>
    <row r="499" spans="1:35" ht="18.75" customHeight="1" x14ac:dyDescent="0.3">
      <c r="A499" s="281">
        <v>45537</v>
      </c>
      <c r="B499" s="136"/>
      <c r="C499" s="136"/>
      <c r="D499" s="136"/>
      <c r="E499" s="136"/>
      <c r="F499" s="136"/>
      <c r="G499" s="136"/>
      <c r="H499" s="136"/>
      <c r="I499" s="136"/>
      <c r="J499" s="136"/>
      <c r="K499" s="136"/>
      <c r="L499" s="136"/>
      <c r="M499" s="136"/>
      <c r="N499" s="136"/>
      <c r="O499" s="136"/>
      <c r="P499" s="136"/>
      <c r="Q499" s="136"/>
      <c r="R499" s="136"/>
      <c r="S499" s="136"/>
      <c r="T499" s="136"/>
      <c r="U499" s="136"/>
      <c r="V499" s="136"/>
      <c r="W499" s="136"/>
      <c r="X499" s="136"/>
      <c r="Y499" s="136"/>
      <c r="Z499" s="136"/>
      <c r="AA499" s="136"/>
      <c r="AB499" s="136"/>
      <c r="AC499" s="136"/>
      <c r="AD499" s="136"/>
      <c r="AE499" s="355">
        <f t="shared" si="81"/>
        <v>0</v>
      </c>
      <c r="AF499" s="272" t="s">
        <v>1029</v>
      </c>
      <c r="AG499" s="136"/>
      <c r="AH499" s="136"/>
      <c r="AI499" s="136"/>
    </row>
    <row r="500" spans="1:35" ht="18.75" customHeight="1" x14ac:dyDescent="0.3">
      <c r="A500" s="281">
        <v>45539</v>
      </c>
      <c r="B500" s="136"/>
      <c r="C500" s="136"/>
      <c r="D500" s="136"/>
      <c r="E500" s="136"/>
      <c r="F500" s="136"/>
      <c r="G500" s="136"/>
      <c r="H500" s="136"/>
      <c r="I500" s="136"/>
      <c r="J500" s="136"/>
      <c r="K500" s="136"/>
      <c r="L500" s="136"/>
      <c r="M500" s="136"/>
      <c r="N500" s="136"/>
      <c r="O500" s="136"/>
      <c r="P500" s="136"/>
      <c r="Q500" s="136"/>
      <c r="R500" s="136"/>
      <c r="S500" s="136"/>
      <c r="T500" s="136"/>
      <c r="U500" s="136"/>
      <c r="V500" s="136"/>
      <c r="W500" s="136"/>
      <c r="X500" s="136"/>
      <c r="Y500" s="136"/>
      <c r="Z500" s="136"/>
      <c r="AA500" s="136"/>
      <c r="AB500" s="136"/>
      <c r="AC500" s="136"/>
      <c r="AD500" s="136"/>
      <c r="AE500" s="355">
        <f t="shared" si="81"/>
        <v>0</v>
      </c>
      <c r="AF500" s="272" t="s">
        <v>1032</v>
      </c>
      <c r="AG500" s="136"/>
      <c r="AH500" s="136"/>
      <c r="AI500" s="136"/>
    </row>
    <row r="501" spans="1:35" ht="18.75" customHeight="1" x14ac:dyDescent="0.3">
      <c r="A501" s="281">
        <v>45539</v>
      </c>
      <c r="B501" s="136"/>
      <c r="C501" s="136"/>
      <c r="D501" s="136"/>
      <c r="E501" s="136"/>
      <c r="F501" s="136"/>
      <c r="G501" s="136"/>
      <c r="H501" s="136"/>
      <c r="I501" s="136"/>
      <c r="J501" s="136"/>
      <c r="K501" s="136"/>
      <c r="L501" s="136"/>
      <c r="M501" s="136"/>
      <c r="N501" s="136"/>
      <c r="O501" s="136"/>
      <c r="P501" s="136"/>
      <c r="Q501" s="136"/>
      <c r="R501" s="136"/>
      <c r="S501" s="136"/>
      <c r="T501" s="136"/>
      <c r="U501" s="136"/>
      <c r="V501" s="136"/>
      <c r="W501" s="136"/>
      <c r="X501" s="136"/>
      <c r="Y501" s="136"/>
      <c r="Z501" s="136"/>
      <c r="AA501" s="136"/>
      <c r="AB501" s="136"/>
      <c r="AC501" s="136"/>
      <c r="AD501" s="136"/>
      <c r="AE501" s="355">
        <f t="shared" si="81"/>
        <v>0</v>
      </c>
      <c r="AF501" s="272" t="s">
        <v>1034</v>
      </c>
      <c r="AG501" s="136"/>
      <c r="AH501" s="136"/>
      <c r="AI501" s="136"/>
    </row>
    <row r="502" spans="1:35" ht="18.75" customHeight="1" x14ac:dyDescent="0.3">
      <c r="A502" s="281">
        <v>45539</v>
      </c>
      <c r="B502" s="136"/>
      <c r="C502" s="136"/>
      <c r="D502" s="136"/>
      <c r="E502" s="136"/>
      <c r="F502" s="136"/>
      <c r="G502" s="136"/>
      <c r="H502" s="136"/>
      <c r="I502" s="136"/>
      <c r="J502" s="136"/>
      <c r="K502" s="136"/>
      <c r="L502" s="136"/>
      <c r="M502" s="136"/>
      <c r="N502" s="136"/>
      <c r="O502" s="136"/>
      <c r="P502" s="136"/>
      <c r="Q502" s="136"/>
      <c r="R502" s="136"/>
      <c r="S502" s="136"/>
      <c r="T502" s="136"/>
      <c r="U502" s="136"/>
      <c r="V502" s="136"/>
      <c r="W502" s="136"/>
      <c r="X502" s="136"/>
      <c r="Y502" s="136"/>
      <c r="Z502" s="136"/>
      <c r="AA502" s="136"/>
      <c r="AB502" s="136"/>
      <c r="AC502" s="136"/>
      <c r="AD502" s="136"/>
      <c r="AE502" s="355">
        <f t="shared" si="81"/>
        <v>0</v>
      </c>
      <c r="AF502" s="272" t="s">
        <v>1035</v>
      </c>
      <c r="AG502" s="136"/>
      <c r="AH502" s="136"/>
      <c r="AI502" s="136"/>
    </row>
    <row r="503" spans="1:35" ht="18.75" customHeight="1" x14ac:dyDescent="0.3">
      <c r="A503" s="281">
        <v>45539</v>
      </c>
      <c r="B503" s="136"/>
      <c r="C503" s="136"/>
      <c r="D503" s="136"/>
      <c r="E503" s="136"/>
      <c r="F503" s="136"/>
      <c r="G503" s="136"/>
      <c r="H503" s="136"/>
      <c r="I503" s="136"/>
      <c r="J503" s="136"/>
      <c r="K503" s="136"/>
      <c r="L503" s="136"/>
      <c r="M503" s="136"/>
      <c r="N503" s="136"/>
      <c r="O503" s="136"/>
      <c r="P503" s="136"/>
      <c r="Q503" s="136"/>
      <c r="R503" s="136"/>
      <c r="S503" s="136"/>
      <c r="T503" s="136"/>
      <c r="U503" s="136"/>
      <c r="V503" s="136"/>
      <c r="W503" s="136"/>
      <c r="X503" s="136"/>
      <c r="Y503" s="136"/>
      <c r="Z503" s="136"/>
      <c r="AA503" s="136"/>
      <c r="AB503" s="136"/>
      <c r="AC503" s="136"/>
      <c r="AD503" s="136"/>
      <c r="AE503" s="355">
        <f t="shared" si="81"/>
        <v>0</v>
      </c>
      <c r="AF503" s="272" t="s">
        <v>1038</v>
      </c>
      <c r="AG503" s="136"/>
      <c r="AH503" s="136"/>
      <c r="AI503" s="136"/>
    </row>
    <row r="504" spans="1:35" ht="18.75" customHeight="1" x14ac:dyDescent="0.3">
      <c r="A504" s="281">
        <v>45540</v>
      </c>
      <c r="B504" s="136"/>
      <c r="C504" s="136"/>
      <c r="D504" s="136"/>
      <c r="E504" s="136"/>
      <c r="F504" s="136"/>
      <c r="G504" s="136"/>
      <c r="H504" s="136"/>
      <c r="I504" s="136"/>
      <c r="J504" s="136"/>
      <c r="K504" s="136"/>
      <c r="L504" s="136"/>
      <c r="M504" s="136"/>
      <c r="N504" s="136"/>
      <c r="O504" s="136"/>
      <c r="P504" s="136"/>
      <c r="Q504" s="136"/>
      <c r="R504" s="136"/>
      <c r="S504" s="136"/>
      <c r="T504" s="136"/>
      <c r="U504" s="136"/>
      <c r="V504" s="136"/>
      <c r="W504" s="136"/>
      <c r="X504" s="136"/>
      <c r="Y504" s="136"/>
      <c r="Z504" s="136"/>
      <c r="AA504" s="136"/>
      <c r="AB504" s="136"/>
      <c r="AC504" s="136"/>
      <c r="AD504" s="136"/>
      <c r="AE504" s="355">
        <f t="shared" si="81"/>
        <v>0</v>
      </c>
      <c r="AF504" s="272" t="s">
        <v>1042</v>
      </c>
      <c r="AG504" s="136"/>
      <c r="AH504" s="136"/>
      <c r="AI504" s="136"/>
    </row>
    <row r="505" spans="1:35" ht="18.75" customHeight="1" x14ac:dyDescent="0.3">
      <c r="A505" s="281">
        <v>45540</v>
      </c>
      <c r="B505" s="136"/>
      <c r="C505" s="136"/>
      <c r="D505" s="136"/>
      <c r="E505" s="136"/>
      <c r="F505" s="136"/>
      <c r="G505" s="136"/>
      <c r="H505" s="136"/>
      <c r="I505" s="136"/>
      <c r="J505" s="136"/>
      <c r="K505" s="136"/>
      <c r="L505" s="136"/>
      <c r="M505" s="136"/>
      <c r="N505" s="136"/>
      <c r="O505" s="136"/>
      <c r="P505" s="136"/>
      <c r="Q505" s="136"/>
      <c r="R505" s="136"/>
      <c r="S505" s="136"/>
      <c r="T505" s="136"/>
      <c r="U505" s="136"/>
      <c r="V505" s="136"/>
      <c r="W505" s="136"/>
      <c r="X505" s="136"/>
      <c r="Y505" s="136"/>
      <c r="Z505" s="136"/>
      <c r="AA505" s="136"/>
      <c r="AB505" s="136"/>
      <c r="AC505" s="136"/>
      <c r="AD505" s="136"/>
      <c r="AE505" s="355">
        <f t="shared" si="81"/>
        <v>0</v>
      </c>
      <c r="AF505" s="272" t="s">
        <v>1044</v>
      </c>
      <c r="AG505" s="136"/>
      <c r="AH505" s="136"/>
      <c r="AI505" s="136"/>
    </row>
    <row r="506" spans="1:35" ht="18.75" customHeight="1" x14ac:dyDescent="0.3">
      <c r="A506" s="281">
        <v>45541</v>
      </c>
      <c r="B506" s="136"/>
      <c r="C506" s="136"/>
      <c r="D506" s="136"/>
      <c r="E506" s="136"/>
      <c r="F506" s="136"/>
      <c r="G506" s="136"/>
      <c r="H506" s="136"/>
      <c r="I506" s="136"/>
      <c r="J506" s="136"/>
      <c r="K506" s="136"/>
      <c r="L506" s="136"/>
      <c r="M506" s="136"/>
      <c r="N506" s="136"/>
      <c r="O506" s="136"/>
      <c r="P506" s="136"/>
      <c r="Q506" s="136"/>
      <c r="R506" s="136"/>
      <c r="S506" s="136"/>
      <c r="T506" s="136"/>
      <c r="U506" s="136"/>
      <c r="V506" s="136"/>
      <c r="W506" s="136"/>
      <c r="X506" s="136"/>
      <c r="Y506" s="136"/>
      <c r="Z506" s="136"/>
      <c r="AA506" s="136"/>
      <c r="AB506" s="136"/>
      <c r="AC506" s="136"/>
      <c r="AD506" s="136"/>
      <c r="AE506" s="355">
        <f t="shared" si="81"/>
        <v>0</v>
      </c>
      <c r="AF506" s="272" t="s">
        <v>1045</v>
      </c>
      <c r="AG506" s="136"/>
      <c r="AH506" s="136"/>
      <c r="AI506" s="136"/>
    </row>
    <row r="507" spans="1:35" ht="18.75" customHeight="1" x14ac:dyDescent="0.3">
      <c r="A507" s="281">
        <v>45541</v>
      </c>
      <c r="B507" s="136"/>
      <c r="C507" s="136"/>
      <c r="D507" s="136"/>
      <c r="E507" s="136"/>
      <c r="F507" s="136"/>
      <c r="G507" s="136"/>
      <c r="H507" s="136"/>
      <c r="I507" s="136"/>
      <c r="J507" s="136"/>
      <c r="K507" s="136"/>
      <c r="L507" s="136"/>
      <c r="M507" s="136"/>
      <c r="N507" s="136"/>
      <c r="O507" s="136"/>
      <c r="P507" s="136"/>
      <c r="Q507" s="136"/>
      <c r="R507" s="136"/>
      <c r="S507" s="136"/>
      <c r="T507" s="136"/>
      <c r="U507" s="136"/>
      <c r="V507" s="136"/>
      <c r="W507" s="136"/>
      <c r="X507" s="136"/>
      <c r="Y507" s="136"/>
      <c r="Z507" s="136"/>
      <c r="AA507" s="136"/>
      <c r="AB507" s="136"/>
      <c r="AC507" s="136"/>
      <c r="AD507" s="136"/>
      <c r="AE507" s="355">
        <f t="shared" si="81"/>
        <v>0</v>
      </c>
      <c r="AF507" s="272" t="s">
        <v>1046</v>
      </c>
      <c r="AG507" s="136"/>
      <c r="AH507" s="136"/>
      <c r="AI507" s="136"/>
    </row>
    <row r="508" spans="1:35" ht="18.75" customHeight="1" x14ac:dyDescent="0.3">
      <c r="A508" s="281">
        <v>45541</v>
      </c>
      <c r="B508" s="136"/>
      <c r="C508" s="136"/>
      <c r="D508" s="136"/>
      <c r="E508" s="136"/>
      <c r="F508" s="136"/>
      <c r="G508" s="136"/>
      <c r="H508" s="136"/>
      <c r="I508" s="136"/>
      <c r="J508" s="136"/>
      <c r="K508" s="136"/>
      <c r="L508" s="136"/>
      <c r="M508" s="136"/>
      <c r="N508" s="136"/>
      <c r="O508" s="136"/>
      <c r="P508" s="136"/>
      <c r="Q508" s="136"/>
      <c r="R508" s="136"/>
      <c r="S508" s="136"/>
      <c r="T508" s="136"/>
      <c r="U508" s="136"/>
      <c r="V508" s="136"/>
      <c r="W508" s="136"/>
      <c r="X508" s="136"/>
      <c r="Y508" s="136"/>
      <c r="Z508" s="136"/>
      <c r="AA508" s="136"/>
      <c r="AB508" s="136"/>
      <c r="AC508" s="136"/>
      <c r="AD508" s="136"/>
      <c r="AE508" s="355">
        <f t="shared" si="81"/>
        <v>0</v>
      </c>
      <c r="AF508" s="272" t="s">
        <v>1046</v>
      </c>
      <c r="AG508" s="136"/>
      <c r="AH508" s="136"/>
      <c r="AI508" s="136"/>
    </row>
    <row r="509" spans="1:35" ht="18.75" customHeight="1" x14ac:dyDescent="0.3">
      <c r="A509" s="281">
        <v>45541</v>
      </c>
      <c r="B509" s="136"/>
      <c r="C509" s="136"/>
      <c r="D509" s="136"/>
      <c r="E509" s="136"/>
      <c r="F509" s="136"/>
      <c r="G509" s="136"/>
      <c r="H509" s="136"/>
      <c r="I509" s="136"/>
      <c r="J509" s="136"/>
      <c r="K509" s="136"/>
      <c r="L509" s="136"/>
      <c r="M509" s="136"/>
      <c r="N509" s="136"/>
      <c r="O509" s="136"/>
      <c r="P509" s="136"/>
      <c r="Q509" s="136"/>
      <c r="R509" s="136"/>
      <c r="S509" s="136"/>
      <c r="T509" s="136"/>
      <c r="U509" s="136"/>
      <c r="V509" s="136"/>
      <c r="W509" s="136"/>
      <c r="X509" s="136"/>
      <c r="Y509" s="136"/>
      <c r="Z509" s="136"/>
      <c r="AA509" s="136"/>
      <c r="AB509" s="136"/>
      <c r="AC509" s="136"/>
      <c r="AD509" s="136"/>
      <c r="AE509" s="355">
        <f t="shared" si="81"/>
        <v>0</v>
      </c>
      <c r="AF509" s="272" t="s">
        <v>1046</v>
      </c>
      <c r="AG509" s="136"/>
      <c r="AH509" s="136"/>
      <c r="AI509" s="136"/>
    </row>
    <row r="510" spans="1:35" ht="18.75" customHeight="1" x14ac:dyDescent="0.3">
      <c r="A510" s="281">
        <v>45544</v>
      </c>
      <c r="B510" s="136"/>
      <c r="C510" s="136"/>
      <c r="D510" s="136"/>
      <c r="E510" s="136"/>
      <c r="F510" s="136"/>
      <c r="G510" s="136"/>
      <c r="H510" s="136"/>
      <c r="I510" s="136"/>
      <c r="J510" s="136"/>
      <c r="K510" s="136"/>
      <c r="L510" s="136"/>
      <c r="M510" s="136"/>
      <c r="N510" s="136"/>
      <c r="O510" s="136"/>
      <c r="P510" s="136"/>
      <c r="Q510" s="136"/>
      <c r="R510" s="136"/>
      <c r="S510" s="136"/>
      <c r="T510" s="136"/>
      <c r="U510" s="136"/>
      <c r="V510" s="136"/>
      <c r="W510" s="136"/>
      <c r="X510" s="136"/>
      <c r="Y510" s="136"/>
      <c r="Z510" s="136"/>
      <c r="AA510" s="136"/>
      <c r="AB510" s="136"/>
      <c r="AC510" s="136"/>
      <c r="AD510" s="136"/>
      <c r="AE510" s="355">
        <f t="shared" si="81"/>
        <v>0</v>
      </c>
      <c r="AF510" s="272" t="s">
        <v>1047</v>
      </c>
      <c r="AG510" s="136"/>
      <c r="AH510" s="136"/>
      <c r="AI510" s="136"/>
    </row>
    <row r="511" spans="1:35" ht="18.75" customHeight="1" x14ac:dyDescent="0.3">
      <c r="A511" s="281">
        <v>45544</v>
      </c>
      <c r="B511" s="136"/>
      <c r="C511" s="136"/>
      <c r="D511" s="136"/>
      <c r="E511" s="136"/>
      <c r="F511" s="136"/>
      <c r="G511" s="136"/>
      <c r="H511" s="136"/>
      <c r="I511" s="136"/>
      <c r="J511" s="136"/>
      <c r="K511" s="136"/>
      <c r="L511" s="136"/>
      <c r="M511" s="136"/>
      <c r="N511" s="136"/>
      <c r="O511" s="136"/>
      <c r="P511" s="136"/>
      <c r="Q511" s="136"/>
      <c r="R511" s="136"/>
      <c r="S511" s="136"/>
      <c r="T511" s="136"/>
      <c r="U511" s="136"/>
      <c r="V511" s="136"/>
      <c r="W511" s="136"/>
      <c r="X511" s="136"/>
      <c r="Y511" s="136"/>
      <c r="Z511" s="136"/>
      <c r="AA511" s="136"/>
      <c r="AB511" s="136"/>
      <c r="AC511" s="136"/>
      <c r="AD511" s="136"/>
      <c r="AE511" s="355">
        <f t="shared" si="81"/>
        <v>0</v>
      </c>
      <c r="AF511" s="272" t="s">
        <v>1052</v>
      </c>
      <c r="AG511" s="136"/>
      <c r="AH511" s="136"/>
      <c r="AI511" s="136"/>
    </row>
    <row r="512" spans="1:35" ht="18.75" customHeight="1" x14ac:dyDescent="0.3">
      <c r="A512" s="281">
        <v>45544</v>
      </c>
      <c r="B512" s="136"/>
      <c r="C512" s="136"/>
      <c r="D512" s="136"/>
      <c r="E512" s="136"/>
      <c r="F512" s="136"/>
      <c r="G512" s="136"/>
      <c r="H512" s="136"/>
      <c r="I512" s="136"/>
      <c r="J512" s="136"/>
      <c r="K512" s="136"/>
      <c r="L512" s="136"/>
      <c r="M512" s="136"/>
      <c r="N512" s="136"/>
      <c r="O512" s="136"/>
      <c r="P512" s="136"/>
      <c r="Q512" s="136"/>
      <c r="R512" s="136"/>
      <c r="S512" s="136"/>
      <c r="T512" s="136"/>
      <c r="U512" s="136"/>
      <c r="V512" s="136"/>
      <c r="W512" s="136"/>
      <c r="X512" s="136"/>
      <c r="Y512" s="136"/>
      <c r="Z512" s="136"/>
      <c r="AA512" s="136"/>
      <c r="AB512" s="136"/>
      <c r="AC512" s="136"/>
      <c r="AD512" s="136"/>
      <c r="AE512" s="355">
        <f t="shared" si="81"/>
        <v>0</v>
      </c>
      <c r="AF512" s="272" t="s">
        <v>1053</v>
      </c>
      <c r="AG512" s="136"/>
      <c r="AH512" s="136"/>
      <c r="AI512" s="136"/>
    </row>
    <row r="513" spans="1:35" ht="18.75" customHeight="1" x14ac:dyDescent="0.3">
      <c r="A513" s="281">
        <v>45545</v>
      </c>
      <c r="B513" s="136"/>
      <c r="C513" s="136"/>
      <c r="D513" s="136"/>
      <c r="E513" s="136"/>
      <c r="F513" s="136"/>
      <c r="G513" s="136"/>
      <c r="H513" s="136"/>
      <c r="I513" s="136"/>
      <c r="J513" s="136"/>
      <c r="K513" s="136"/>
      <c r="L513" s="136"/>
      <c r="M513" s="136"/>
      <c r="N513" s="136"/>
      <c r="O513" s="136"/>
      <c r="P513" s="136"/>
      <c r="Q513" s="136"/>
      <c r="R513" s="136"/>
      <c r="S513" s="136"/>
      <c r="T513" s="136"/>
      <c r="U513" s="136"/>
      <c r="V513" s="136"/>
      <c r="W513" s="136"/>
      <c r="X513" s="136"/>
      <c r="Y513" s="136"/>
      <c r="Z513" s="136"/>
      <c r="AA513" s="136"/>
      <c r="AB513" s="136"/>
      <c r="AC513" s="136"/>
      <c r="AD513" s="136"/>
      <c r="AE513" s="355">
        <f t="shared" si="81"/>
        <v>0</v>
      </c>
      <c r="AF513" s="272" t="s">
        <v>1054</v>
      </c>
      <c r="AG513" s="136"/>
      <c r="AH513" s="136"/>
      <c r="AI513" s="136"/>
    </row>
    <row r="514" spans="1:35" ht="18.75" customHeight="1" x14ac:dyDescent="0.3">
      <c r="A514" s="281">
        <v>24726</v>
      </c>
      <c r="B514" s="136"/>
      <c r="C514" s="136"/>
      <c r="D514" s="136"/>
      <c r="E514" s="136"/>
      <c r="F514" s="136"/>
      <c r="G514" s="136"/>
      <c r="H514" s="136"/>
      <c r="I514" s="136"/>
      <c r="J514" s="136"/>
      <c r="K514" s="136"/>
      <c r="L514" s="136"/>
      <c r="M514" s="136"/>
      <c r="N514" s="136"/>
      <c r="O514" s="136"/>
      <c r="P514" s="136"/>
      <c r="Q514" s="136"/>
      <c r="R514" s="136"/>
      <c r="S514" s="136"/>
      <c r="T514" s="136"/>
      <c r="U514" s="136"/>
      <c r="V514" s="136"/>
      <c r="W514" s="136"/>
      <c r="X514" s="136"/>
      <c r="Y514" s="136"/>
      <c r="Z514" s="136"/>
      <c r="AA514" s="136"/>
      <c r="AB514" s="136"/>
      <c r="AC514" s="136"/>
      <c r="AD514" s="136"/>
      <c r="AE514" s="355">
        <f t="shared" si="81"/>
        <v>0</v>
      </c>
      <c r="AF514" s="272" t="s">
        <v>1056</v>
      </c>
      <c r="AG514" s="136"/>
      <c r="AH514" s="136"/>
      <c r="AI514" s="136"/>
    </row>
    <row r="515" spans="1:35" ht="18.75" customHeight="1" x14ac:dyDescent="0.3">
      <c r="A515" s="281">
        <v>24726</v>
      </c>
      <c r="B515" s="136"/>
      <c r="C515" s="136"/>
      <c r="D515" s="136"/>
      <c r="E515" s="136"/>
      <c r="F515" s="136"/>
      <c r="G515" s="136"/>
      <c r="H515" s="136"/>
      <c r="I515" s="136"/>
      <c r="J515" s="136"/>
      <c r="K515" s="136"/>
      <c r="L515" s="136"/>
      <c r="M515" s="136"/>
      <c r="N515" s="136"/>
      <c r="O515" s="136"/>
      <c r="P515" s="136"/>
      <c r="Q515" s="136"/>
      <c r="R515" s="136"/>
      <c r="S515" s="136"/>
      <c r="T515" s="136"/>
      <c r="U515" s="136"/>
      <c r="V515" s="136"/>
      <c r="W515" s="136"/>
      <c r="X515" s="136"/>
      <c r="Y515" s="136"/>
      <c r="Z515" s="136"/>
      <c r="AA515" s="136"/>
      <c r="AB515" s="136"/>
      <c r="AC515" s="136"/>
      <c r="AD515" s="136"/>
      <c r="AE515" s="355">
        <f t="shared" si="81"/>
        <v>0</v>
      </c>
      <c r="AF515" s="272" t="s">
        <v>1057</v>
      </c>
      <c r="AG515" s="136"/>
      <c r="AH515" s="136"/>
      <c r="AI515" s="136"/>
    </row>
    <row r="516" spans="1:35" ht="18.75" customHeight="1" x14ac:dyDescent="0.3">
      <c r="A516" s="281">
        <v>24726</v>
      </c>
      <c r="B516" s="136"/>
      <c r="C516" s="136"/>
      <c r="D516" s="136"/>
      <c r="E516" s="136"/>
      <c r="F516" s="136"/>
      <c r="G516" s="136"/>
      <c r="H516" s="136"/>
      <c r="I516" s="136"/>
      <c r="J516" s="136"/>
      <c r="K516" s="136"/>
      <c r="L516" s="136"/>
      <c r="M516" s="136"/>
      <c r="N516" s="136"/>
      <c r="O516" s="136"/>
      <c r="P516" s="136"/>
      <c r="Q516" s="136"/>
      <c r="R516" s="136"/>
      <c r="S516" s="136"/>
      <c r="T516" s="136"/>
      <c r="U516" s="136"/>
      <c r="V516" s="136"/>
      <c r="W516" s="136"/>
      <c r="X516" s="136"/>
      <c r="Y516" s="136"/>
      <c r="Z516" s="136"/>
      <c r="AA516" s="136"/>
      <c r="AB516" s="136"/>
      <c r="AC516" s="136"/>
      <c r="AD516" s="136"/>
      <c r="AE516" s="355">
        <f t="shared" si="81"/>
        <v>0</v>
      </c>
      <c r="AF516" s="272" t="s">
        <v>1058</v>
      </c>
      <c r="AG516" s="136"/>
      <c r="AH516" s="136"/>
      <c r="AI516" s="136"/>
    </row>
    <row r="517" spans="1:35" ht="18.75" customHeight="1" x14ac:dyDescent="0.3">
      <c r="A517" s="281">
        <v>45547</v>
      </c>
      <c r="B517" s="136"/>
      <c r="C517" s="136"/>
      <c r="D517" s="136"/>
      <c r="E517" s="136"/>
      <c r="F517" s="136"/>
      <c r="G517" s="136"/>
      <c r="H517" s="136"/>
      <c r="I517" s="136"/>
      <c r="J517" s="136"/>
      <c r="K517" s="136"/>
      <c r="L517" s="136"/>
      <c r="M517" s="136"/>
      <c r="N517" s="136"/>
      <c r="O517" s="136"/>
      <c r="P517" s="136"/>
      <c r="Q517" s="136"/>
      <c r="R517" s="136"/>
      <c r="S517" s="136"/>
      <c r="T517" s="136"/>
      <c r="U517" s="136"/>
      <c r="V517" s="136"/>
      <c r="W517" s="136"/>
      <c r="X517" s="136"/>
      <c r="Y517" s="136"/>
      <c r="Z517" s="136"/>
      <c r="AA517" s="136"/>
      <c r="AB517" s="136"/>
      <c r="AC517" s="136"/>
      <c r="AD517" s="136"/>
      <c r="AE517" s="355">
        <f t="shared" si="81"/>
        <v>0</v>
      </c>
      <c r="AF517" s="272" t="s">
        <v>1059</v>
      </c>
      <c r="AG517" s="136"/>
      <c r="AH517" s="136"/>
      <c r="AI517" s="136"/>
    </row>
    <row r="518" spans="1:35" ht="18.75" customHeight="1" x14ac:dyDescent="0.3">
      <c r="A518" s="281">
        <v>45548</v>
      </c>
      <c r="B518" s="136"/>
      <c r="C518" s="136"/>
      <c r="D518" s="136"/>
      <c r="E518" s="136"/>
      <c r="F518" s="136"/>
      <c r="G518" s="136"/>
      <c r="H518" s="136"/>
      <c r="I518" s="136"/>
      <c r="J518" s="136"/>
      <c r="K518" s="136"/>
      <c r="L518" s="136"/>
      <c r="M518" s="136"/>
      <c r="N518" s="136"/>
      <c r="O518" s="136"/>
      <c r="P518" s="136"/>
      <c r="Q518" s="136"/>
      <c r="R518" s="136"/>
      <c r="S518" s="136"/>
      <c r="T518" s="136"/>
      <c r="U518" s="136"/>
      <c r="V518" s="136"/>
      <c r="W518" s="136"/>
      <c r="X518" s="136"/>
      <c r="Y518" s="136"/>
      <c r="Z518" s="136"/>
      <c r="AA518" s="136"/>
      <c r="AB518" s="136"/>
      <c r="AC518" s="136"/>
      <c r="AD518" s="136"/>
      <c r="AE518" s="355">
        <f t="shared" si="81"/>
        <v>0</v>
      </c>
      <c r="AF518" s="272" t="s">
        <v>1060</v>
      </c>
      <c r="AG518" s="136"/>
      <c r="AH518" s="136"/>
      <c r="AI518" s="136"/>
    </row>
    <row r="519" spans="1:35" ht="18.75" customHeight="1" x14ac:dyDescent="0.3">
      <c r="A519" s="281">
        <v>45548</v>
      </c>
      <c r="B519" s="136"/>
      <c r="C519" s="136"/>
      <c r="D519" s="136"/>
      <c r="E519" s="136"/>
      <c r="F519" s="136"/>
      <c r="G519" s="136"/>
      <c r="H519" s="136"/>
      <c r="I519" s="136"/>
      <c r="J519" s="136"/>
      <c r="K519" s="136"/>
      <c r="L519" s="136"/>
      <c r="M519" s="136"/>
      <c r="N519" s="136"/>
      <c r="O519" s="136"/>
      <c r="P519" s="136"/>
      <c r="Q519" s="136"/>
      <c r="R519" s="136"/>
      <c r="S519" s="136"/>
      <c r="T519" s="136"/>
      <c r="U519" s="136"/>
      <c r="V519" s="136"/>
      <c r="W519" s="136"/>
      <c r="X519" s="136"/>
      <c r="Y519" s="136"/>
      <c r="Z519" s="136"/>
      <c r="AA519" s="136"/>
      <c r="AB519" s="136"/>
      <c r="AC519" s="136"/>
      <c r="AD519" s="136"/>
      <c r="AE519" s="355">
        <f t="shared" si="81"/>
        <v>0</v>
      </c>
      <c r="AF519" s="272" t="s">
        <v>1061</v>
      </c>
      <c r="AG519" s="136"/>
      <c r="AH519" s="136"/>
      <c r="AI519" s="136"/>
    </row>
    <row r="520" spans="1:35" ht="18.75" customHeight="1" x14ac:dyDescent="0.3">
      <c r="A520" s="281">
        <v>45553</v>
      </c>
      <c r="B520" s="136"/>
      <c r="C520" s="136"/>
      <c r="D520" s="136"/>
      <c r="E520" s="136"/>
      <c r="F520" s="136"/>
      <c r="G520" s="136"/>
      <c r="H520" s="136"/>
      <c r="I520" s="136"/>
      <c r="J520" s="136"/>
      <c r="K520" s="136"/>
      <c r="L520" s="136"/>
      <c r="M520" s="136"/>
      <c r="N520" s="136"/>
      <c r="O520" s="136"/>
      <c r="P520" s="136"/>
      <c r="Q520" s="136"/>
      <c r="R520" s="136"/>
      <c r="S520" s="136"/>
      <c r="T520" s="136"/>
      <c r="U520" s="136"/>
      <c r="V520" s="136"/>
      <c r="W520" s="136"/>
      <c r="X520" s="136"/>
      <c r="Y520" s="136"/>
      <c r="Z520" s="136"/>
      <c r="AA520" s="136"/>
      <c r="AB520" s="136"/>
      <c r="AC520" s="136"/>
      <c r="AD520" s="136"/>
      <c r="AE520" s="355">
        <f t="shared" si="81"/>
        <v>0</v>
      </c>
      <c r="AF520" s="272" t="s">
        <v>1066</v>
      </c>
      <c r="AG520" s="136"/>
      <c r="AH520" s="136"/>
      <c r="AI520" s="136"/>
    </row>
    <row r="521" spans="1:35" ht="18.75" customHeight="1" x14ac:dyDescent="0.3">
      <c r="A521" s="281">
        <v>45553</v>
      </c>
      <c r="B521" s="136"/>
      <c r="C521" s="136"/>
      <c r="D521" s="136"/>
      <c r="E521" s="136"/>
      <c r="F521" s="136"/>
      <c r="G521" s="136"/>
      <c r="H521" s="136"/>
      <c r="I521" s="136"/>
      <c r="J521" s="136"/>
      <c r="K521" s="136"/>
      <c r="L521" s="136"/>
      <c r="M521" s="136"/>
      <c r="N521" s="136"/>
      <c r="O521" s="136"/>
      <c r="P521" s="136"/>
      <c r="Q521" s="136"/>
      <c r="R521" s="136"/>
      <c r="S521" s="136"/>
      <c r="T521" s="136"/>
      <c r="U521" s="136"/>
      <c r="V521" s="136"/>
      <c r="W521" s="136"/>
      <c r="X521" s="136"/>
      <c r="Y521" s="136"/>
      <c r="Z521" s="136"/>
      <c r="AA521" s="136"/>
      <c r="AB521" s="136"/>
      <c r="AC521" s="136"/>
      <c r="AD521" s="136"/>
      <c r="AE521" s="355">
        <f t="shared" si="81"/>
        <v>0</v>
      </c>
      <c r="AF521" s="272" t="s">
        <v>1071</v>
      </c>
      <c r="AG521" s="136"/>
      <c r="AH521" s="136"/>
      <c r="AI521" s="136"/>
    </row>
    <row r="522" spans="1:35" ht="18.75" customHeight="1" x14ac:dyDescent="0.3">
      <c r="A522" s="281">
        <v>45553</v>
      </c>
      <c r="B522" s="136"/>
      <c r="C522" s="136"/>
      <c r="D522" s="136"/>
      <c r="E522" s="136"/>
      <c r="F522" s="136"/>
      <c r="G522" s="136"/>
      <c r="H522" s="136"/>
      <c r="I522" s="136"/>
      <c r="J522" s="136"/>
      <c r="K522" s="136"/>
      <c r="L522" s="136"/>
      <c r="M522" s="136"/>
      <c r="N522" s="136"/>
      <c r="O522" s="136"/>
      <c r="P522" s="136"/>
      <c r="Q522" s="136"/>
      <c r="R522" s="136"/>
      <c r="S522" s="136"/>
      <c r="T522" s="136"/>
      <c r="U522" s="136"/>
      <c r="V522" s="136"/>
      <c r="W522" s="136"/>
      <c r="X522" s="136"/>
      <c r="Y522" s="136"/>
      <c r="Z522" s="136"/>
      <c r="AA522" s="136"/>
      <c r="AB522" s="136"/>
      <c r="AC522" s="136"/>
      <c r="AD522" s="136"/>
      <c r="AE522" s="355">
        <f t="shared" si="81"/>
        <v>0</v>
      </c>
      <c r="AF522" s="272" t="s">
        <v>1072</v>
      </c>
      <c r="AG522" s="136"/>
      <c r="AH522" s="136"/>
      <c r="AI522" s="136"/>
    </row>
    <row r="523" spans="1:35" ht="18.75" customHeight="1" x14ac:dyDescent="0.3">
      <c r="A523" s="281">
        <v>45553</v>
      </c>
      <c r="B523" s="136"/>
      <c r="C523" s="136"/>
      <c r="D523" s="136"/>
      <c r="E523" s="136"/>
      <c r="F523" s="136"/>
      <c r="G523" s="136"/>
      <c r="H523" s="136"/>
      <c r="I523" s="136"/>
      <c r="J523" s="136"/>
      <c r="K523" s="136"/>
      <c r="L523" s="136"/>
      <c r="M523" s="136"/>
      <c r="N523" s="136"/>
      <c r="O523" s="136"/>
      <c r="P523" s="136"/>
      <c r="Q523" s="136"/>
      <c r="R523" s="136"/>
      <c r="S523" s="136"/>
      <c r="T523" s="136"/>
      <c r="U523" s="136"/>
      <c r="V523" s="136"/>
      <c r="W523" s="136"/>
      <c r="X523" s="136"/>
      <c r="Y523" s="136"/>
      <c r="Z523" s="136"/>
      <c r="AA523" s="136"/>
      <c r="AB523" s="136"/>
      <c r="AC523" s="136"/>
      <c r="AD523" s="136"/>
      <c r="AE523" s="355">
        <f t="shared" ref="AE523:AE541" si="82">SUM(B523:AD523)</f>
        <v>0</v>
      </c>
      <c r="AF523" s="272" t="s">
        <v>1073</v>
      </c>
      <c r="AG523" s="136"/>
      <c r="AH523" s="136"/>
      <c r="AI523" s="136"/>
    </row>
    <row r="524" spans="1:35" ht="18.75" customHeight="1" x14ac:dyDescent="0.3">
      <c r="A524" s="281">
        <v>45553</v>
      </c>
      <c r="B524" s="136"/>
      <c r="C524" s="136"/>
      <c r="D524" s="136"/>
      <c r="E524" s="136"/>
      <c r="F524" s="136"/>
      <c r="G524" s="136"/>
      <c r="H524" s="136"/>
      <c r="I524" s="136"/>
      <c r="J524" s="136"/>
      <c r="K524" s="136"/>
      <c r="L524" s="136"/>
      <c r="M524" s="136"/>
      <c r="N524" s="136"/>
      <c r="O524" s="136"/>
      <c r="P524" s="136"/>
      <c r="Q524" s="136"/>
      <c r="R524" s="136"/>
      <c r="S524" s="136"/>
      <c r="T524" s="136"/>
      <c r="U524" s="136"/>
      <c r="V524" s="136"/>
      <c r="W524" s="136"/>
      <c r="X524" s="136"/>
      <c r="Y524" s="136"/>
      <c r="Z524" s="136"/>
      <c r="AA524" s="136"/>
      <c r="AB524" s="136"/>
      <c r="AC524" s="136"/>
      <c r="AD524" s="136"/>
      <c r="AE524" s="355">
        <f t="shared" si="82"/>
        <v>0</v>
      </c>
      <c r="AF524" s="272" t="s">
        <v>1074</v>
      </c>
      <c r="AG524" s="136"/>
      <c r="AH524" s="136"/>
      <c r="AI524" s="136"/>
    </row>
    <row r="525" spans="1:35" ht="18.75" customHeight="1" x14ac:dyDescent="0.3">
      <c r="A525" s="281">
        <v>45553</v>
      </c>
      <c r="B525" s="136"/>
      <c r="C525" s="136"/>
      <c r="D525" s="136"/>
      <c r="E525" s="136"/>
      <c r="F525" s="136"/>
      <c r="G525" s="136"/>
      <c r="H525" s="136"/>
      <c r="I525" s="136"/>
      <c r="J525" s="136"/>
      <c r="K525" s="136"/>
      <c r="L525" s="136"/>
      <c r="M525" s="136"/>
      <c r="N525" s="136"/>
      <c r="O525" s="136"/>
      <c r="P525" s="136"/>
      <c r="Q525" s="136"/>
      <c r="R525" s="136"/>
      <c r="S525" s="136"/>
      <c r="T525" s="136"/>
      <c r="U525" s="136"/>
      <c r="V525" s="136"/>
      <c r="W525" s="136"/>
      <c r="X525" s="136"/>
      <c r="Y525" s="136"/>
      <c r="Z525" s="136"/>
      <c r="AA525" s="136"/>
      <c r="AB525" s="136"/>
      <c r="AC525" s="136"/>
      <c r="AD525" s="136"/>
      <c r="AE525" s="355">
        <f t="shared" si="82"/>
        <v>0</v>
      </c>
      <c r="AF525" s="272" t="s">
        <v>1077</v>
      </c>
      <c r="AG525" s="136"/>
      <c r="AH525" s="136"/>
      <c r="AI525" s="136"/>
    </row>
    <row r="526" spans="1:35" ht="18.75" customHeight="1" x14ac:dyDescent="0.3">
      <c r="A526" s="281">
        <v>45554</v>
      </c>
      <c r="B526" s="136"/>
      <c r="C526" s="136"/>
      <c r="D526" s="136"/>
      <c r="E526" s="136"/>
      <c r="F526" s="136"/>
      <c r="G526" s="136"/>
      <c r="H526" s="136"/>
      <c r="I526" s="136"/>
      <c r="J526" s="136"/>
      <c r="K526" s="136"/>
      <c r="L526" s="136"/>
      <c r="M526" s="136"/>
      <c r="N526" s="136"/>
      <c r="O526" s="136"/>
      <c r="P526" s="136"/>
      <c r="Q526" s="136"/>
      <c r="R526" s="136"/>
      <c r="S526" s="136"/>
      <c r="T526" s="136"/>
      <c r="U526" s="136"/>
      <c r="V526" s="136"/>
      <c r="W526" s="136"/>
      <c r="X526" s="136"/>
      <c r="Y526" s="136"/>
      <c r="Z526" s="136"/>
      <c r="AA526" s="136"/>
      <c r="AB526" s="136"/>
      <c r="AC526" s="136"/>
      <c r="AD526" s="136"/>
      <c r="AE526" s="355">
        <f t="shared" si="82"/>
        <v>0</v>
      </c>
      <c r="AF526" s="272" t="s">
        <v>1078</v>
      </c>
      <c r="AG526" s="136"/>
      <c r="AH526" s="136"/>
      <c r="AI526" s="136"/>
    </row>
    <row r="527" spans="1:35" ht="18.75" customHeight="1" x14ac:dyDescent="0.3">
      <c r="A527" s="281">
        <v>45555</v>
      </c>
      <c r="B527" s="136"/>
      <c r="C527" s="136"/>
      <c r="D527" s="136"/>
      <c r="E527" s="136"/>
      <c r="F527" s="136"/>
      <c r="G527" s="136"/>
      <c r="H527" s="136"/>
      <c r="I527" s="136"/>
      <c r="J527" s="136"/>
      <c r="K527" s="136"/>
      <c r="L527" s="136"/>
      <c r="M527" s="136"/>
      <c r="N527" s="136"/>
      <c r="O527" s="136"/>
      <c r="P527" s="136"/>
      <c r="Q527" s="136"/>
      <c r="R527" s="136"/>
      <c r="S527" s="136"/>
      <c r="T527" s="136"/>
      <c r="U527" s="136"/>
      <c r="V527" s="136"/>
      <c r="W527" s="136"/>
      <c r="X527" s="136"/>
      <c r="Y527" s="136"/>
      <c r="Z527" s="136"/>
      <c r="AA527" s="136"/>
      <c r="AB527" s="136"/>
      <c r="AC527" s="136"/>
      <c r="AD527" s="136"/>
      <c r="AE527" s="355">
        <f t="shared" si="82"/>
        <v>0</v>
      </c>
      <c r="AF527" s="272" t="s">
        <v>1081</v>
      </c>
      <c r="AG527" s="136"/>
      <c r="AH527" s="136"/>
      <c r="AI527" s="136"/>
    </row>
    <row r="528" spans="1:35" ht="18.75" customHeight="1" x14ac:dyDescent="0.3">
      <c r="A528" s="281">
        <v>45555</v>
      </c>
      <c r="B528" s="136"/>
      <c r="C528" s="136"/>
      <c r="D528" s="136"/>
      <c r="E528" s="136"/>
      <c r="F528" s="136"/>
      <c r="G528" s="136"/>
      <c r="H528" s="136"/>
      <c r="I528" s="136"/>
      <c r="J528" s="136"/>
      <c r="K528" s="136"/>
      <c r="L528" s="136"/>
      <c r="M528" s="136"/>
      <c r="N528" s="136"/>
      <c r="O528" s="136"/>
      <c r="P528" s="136"/>
      <c r="Q528" s="136"/>
      <c r="R528" s="136"/>
      <c r="S528" s="136"/>
      <c r="T528" s="136"/>
      <c r="U528" s="136"/>
      <c r="V528" s="136"/>
      <c r="W528" s="136"/>
      <c r="X528" s="136"/>
      <c r="Y528" s="136"/>
      <c r="Z528" s="136"/>
      <c r="AA528" s="136"/>
      <c r="AB528" s="136"/>
      <c r="AC528" s="136"/>
      <c r="AD528" s="136"/>
      <c r="AE528" s="355">
        <f t="shared" si="82"/>
        <v>0</v>
      </c>
      <c r="AF528" s="272" t="s">
        <v>1084</v>
      </c>
      <c r="AG528" s="136"/>
      <c r="AH528" s="136"/>
      <c r="AI528" s="136"/>
    </row>
    <row r="529" spans="1:35" ht="18.75" customHeight="1" x14ac:dyDescent="0.3">
      <c r="A529" s="281">
        <v>45555</v>
      </c>
      <c r="B529" s="136"/>
      <c r="C529" s="136"/>
      <c r="D529" s="136"/>
      <c r="E529" s="136"/>
      <c r="F529" s="136"/>
      <c r="G529" s="136"/>
      <c r="H529" s="136"/>
      <c r="I529" s="136"/>
      <c r="J529" s="136"/>
      <c r="K529" s="136"/>
      <c r="L529" s="136"/>
      <c r="M529" s="136"/>
      <c r="N529" s="136"/>
      <c r="O529" s="136"/>
      <c r="P529" s="136"/>
      <c r="Q529" s="136"/>
      <c r="R529" s="136"/>
      <c r="S529" s="136"/>
      <c r="T529" s="136"/>
      <c r="U529" s="136"/>
      <c r="V529" s="136"/>
      <c r="W529" s="136"/>
      <c r="X529" s="136"/>
      <c r="Y529" s="136"/>
      <c r="Z529" s="136"/>
      <c r="AA529" s="136"/>
      <c r="AB529" s="136"/>
      <c r="AC529" s="136"/>
      <c r="AD529" s="136"/>
      <c r="AE529" s="355">
        <f t="shared" si="82"/>
        <v>0</v>
      </c>
      <c r="AF529" s="272" t="s">
        <v>1085</v>
      </c>
      <c r="AG529" s="136"/>
      <c r="AH529" s="136"/>
      <c r="AI529" s="136"/>
    </row>
    <row r="530" spans="1:35" ht="18.75" customHeight="1" x14ac:dyDescent="0.3">
      <c r="A530" s="281">
        <v>45555</v>
      </c>
      <c r="B530" s="136"/>
      <c r="C530" s="136"/>
      <c r="D530" s="136"/>
      <c r="E530" s="136"/>
      <c r="F530" s="136"/>
      <c r="G530" s="136"/>
      <c r="H530" s="136"/>
      <c r="I530" s="136"/>
      <c r="J530" s="136"/>
      <c r="K530" s="136"/>
      <c r="L530" s="136"/>
      <c r="M530" s="136"/>
      <c r="N530" s="136"/>
      <c r="O530" s="136"/>
      <c r="P530" s="136"/>
      <c r="Q530" s="136"/>
      <c r="R530" s="136"/>
      <c r="S530" s="136"/>
      <c r="T530" s="136"/>
      <c r="U530" s="136"/>
      <c r="V530" s="136"/>
      <c r="W530" s="136"/>
      <c r="X530" s="136"/>
      <c r="Y530" s="136"/>
      <c r="Z530" s="136"/>
      <c r="AA530" s="136"/>
      <c r="AB530" s="136"/>
      <c r="AC530" s="136"/>
      <c r="AD530" s="136"/>
      <c r="AE530" s="355">
        <f t="shared" si="82"/>
        <v>0</v>
      </c>
      <c r="AF530" s="272" t="s">
        <v>1089</v>
      </c>
      <c r="AG530" s="136"/>
      <c r="AH530" s="136"/>
      <c r="AI530" s="136"/>
    </row>
    <row r="531" spans="1:35" ht="18.75" customHeight="1" x14ac:dyDescent="0.3">
      <c r="A531" s="281">
        <v>45555</v>
      </c>
      <c r="B531" s="136"/>
      <c r="C531" s="136"/>
      <c r="D531" s="136"/>
      <c r="E531" s="136"/>
      <c r="F531" s="136"/>
      <c r="G531" s="136"/>
      <c r="H531" s="136"/>
      <c r="I531" s="136"/>
      <c r="J531" s="136"/>
      <c r="K531" s="136"/>
      <c r="L531" s="136"/>
      <c r="M531" s="136"/>
      <c r="N531" s="136"/>
      <c r="O531" s="136"/>
      <c r="P531" s="136"/>
      <c r="Q531" s="136"/>
      <c r="R531" s="136"/>
      <c r="S531" s="136"/>
      <c r="T531" s="136"/>
      <c r="U531" s="136"/>
      <c r="V531" s="136"/>
      <c r="W531" s="136"/>
      <c r="X531" s="136"/>
      <c r="Y531" s="136"/>
      <c r="Z531" s="136"/>
      <c r="AA531" s="136"/>
      <c r="AB531" s="136"/>
      <c r="AC531" s="136"/>
      <c r="AD531" s="136"/>
      <c r="AE531" s="355">
        <f t="shared" si="82"/>
        <v>0</v>
      </c>
      <c r="AF531" s="272" t="s">
        <v>1089</v>
      </c>
      <c r="AG531" s="136"/>
      <c r="AH531" s="136"/>
      <c r="AI531" s="136"/>
    </row>
    <row r="532" spans="1:35" ht="18.75" customHeight="1" x14ac:dyDescent="0.3">
      <c r="A532" s="281">
        <v>45558</v>
      </c>
      <c r="B532" s="136"/>
      <c r="C532" s="136"/>
      <c r="D532" s="136"/>
      <c r="E532" s="136"/>
      <c r="F532" s="136"/>
      <c r="G532" s="136"/>
      <c r="H532" s="136"/>
      <c r="I532" s="136"/>
      <c r="J532" s="136"/>
      <c r="K532" s="136"/>
      <c r="L532" s="136"/>
      <c r="M532" s="136"/>
      <c r="N532" s="136"/>
      <c r="O532" s="136"/>
      <c r="P532" s="136"/>
      <c r="Q532" s="136"/>
      <c r="R532" s="136"/>
      <c r="S532" s="136"/>
      <c r="T532" s="136"/>
      <c r="U532" s="136"/>
      <c r="V532" s="136"/>
      <c r="W532" s="136"/>
      <c r="X532" s="136"/>
      <c r="Y532" s="136"/>
      <c r="Z532" s="136"/>
      <c r="AA532" s="136"/>
      <c r="AB532" s="136"/>
      <c r="AC532" s="136"/>
      <c r="AD532" s="136"/>
      <c r="AE532" s="355">
        <f t="shared" si="82"/>
        <v>0</v>
      </c>
      <c r="AF532" s="272" t="s">
        <v>1095</v>
      </c>
      <c r="AG532" s="136"/>
      <c r="AH532" s="136"/>
      <c r="AI532" s="136"/>
    </row>
    <row r="533" spans="1:35" ht="18.75" customHeight="1" x14ac:dyDescent="0.3">
      <c r="A533" s="281">
        <v>45558</v>
      </c>
      <c r="B533" s="136"/>
      <c r="C533" s="136"/>
      <c r="D533" s="136"/>
      <c r="E533" s="136"/>
      <c r="F533" s="136"/>
      <c r="G533" s="136"/>
      <c r="H533" s="136"/>
      <c r="I533" s="136"/>
      <c r="J533" s="136"/>
      <c r="K533" s="136"/>
      <c r="L533" s="136"/>
      <c r="M533" s="136"/>
      <c r="N533" s="136"/>
      <c r="O533" s="136"/>
      <c r="P533" s="136"/>
      <c r="Q533" s="136"/>
      <c r="R533" s="136"/>
      <c r="S533" s="136"/>
      <c r="T533" s="136"/>
      <c r="U533" s="136"/>
      <c r="V533" s="136"/>
      <c r="W533" s="136"/>
      <c r="X533" s="136"/>
      <c r="Y533" s="136"/>
      <c r="Z533" s="136"/>
      <c r="AA533" s="136"/>
      <c r="AB533" s="136"/>
      <c r="AC533" s="136"/>
      <c r="AD533" s="136"/>
      <c r="AE533" s="355">
        <f t="shared" si="82"/>
        <v>0</v>
      </c>
      <c r="AF533" s="272" t="s">
        <v>1096</v>
      </c>
      <c r="AG533" s="136"/>
      <c r="AH533" s="136"/>
      <c r="AI533" s="136"/>
    </row>
    <row r="534" spans="1:35" ht="18.75" customHeight="1" x14ac:dyDescent="0.3">
      <c r="A534" s="281">
        <v>45558</v>
      </c>
      <c r="B534" s="136"/>
      <c r="C534" s="136"/>
      <c r="D534" s="136"/>
      <c r="E534" s="136"/>
      <c r="F534" s="136"/>
      <c r="G534" s="136"/>
      <c r="H534" s="136"/>
      <c r="I534" s="136"/>
      <c r="J534" s="136"/>
      <c r="K534" s="136"/>
      <c r="L534" s="136"/>
      <c r="M534" s="136"/>
      <c r="N534" s="136"/>
      <c r="O534" s="136"/>
      <c r="P534" s="136"/>
      <c r="Q534" s="136"/>
      <c r="R534" s="136"/>
      <c r="S534" s="136"/>
      <c r="T534" s="136"/>
      <c r="U534" s="136"/>
      <c r="V534" s="136"/>
      <c r="W534" s="136"/>
      <c r="X534" s="136"/>
      <c r="Y534" s="136"/>
      <c r="Z534" s="136"/>
      <c r="AA534" s="136"/>
      <c r="AB534" s="136"/>
      <c r="AC534" s="136"/>
      <c r="AD534" s="136"/>
      <c r="AE534" s="355">
        <f t="shared" si="82"/>
        <v>0</v>
      </c>
      <c r="AF534" s="272" t="s">
        <v>1097</v>
      </c>
      <c r="AG534" s="136"/>
      <c r="AH534" s="136"/>
      <c r="AI534" s="136"/>
    </row>
    <row r="535" spans="1:35" ht="18.75" customHeight="1" x14ac:dyDescent="0.3">
      <c r="A535" s="281">
        <v>45558</v>
      </c>
      <c r="B535" s="136"/>
      <c r="C535" s="136"/>
      <c r="D535" s="136"/>
      <c r="E535" s="136"/>
      <c r="F535" s="136"/>
      <c r="G535" s="136"/>
      <c r="H535" s="136"/>
      <c r="I535" s="136"/>
      <c r="J535" s="136"/>
      <c r="K535" s="136"/>
      <c r="L535" s="136"/>
      <c r="M535" s="136"/>
      <c r="N535" s="136"/>
      <c r="O535" s="136"/>
      <c r="P535" s="136"/>
      <c r="Q535" s="136"/>
      <c r="R535" s="136"/>
      <c r="S535" s="136"/>
      <c r="T535" s="136"/>
      <c r="U535" s="136"/>
      <c r="V535" s="136"/>
      <c r="W535" s="136"/>
      <c r="X535" s="136"/>
      <c r="Y535" s="136"/>
      <c r="Z535" s="136"/>
      <c r="AA535" s="136"/>
      <c r="AB535" s="136"/>
      <c r="AC535" s="136"/>
      <c r="AD535" s="136"/>
      <c r="AE535" s="355">
        <f t="shared" si="82"/>
        <v>0</v>
      </c>
      <c r="AF535" s="272" t="s">
        <v>1100</v>
      </c>
      <c r="AG535" s="136"/>
      <c r="AH535" s="136"/>
      <c r="AI535" s="136"/>
    </row>
    <row r="536" spans="1:35" ht="18.75" customHeight="1" x14ac:dyDescent="0.3">
      <c r="A536" s="669">
        <v>45558</v>
      </c>
      <c r="B536" s="136"/>
      <c r="C536" s="136"/>
      <c r="D536" s="136"/>
      <c r="E536" s="136"/>
      <c r="F536" s="136"/>
      <c r="G536" s="136"/>
      <c r="H536" s="136"/>
      <c r="I536" s="136"/>
      <c r="J536" s="136"/>
      <c r="K536" s="136"/>
      <c r="L536" s="136"/>
      <c r="M536" s="136"/>
      <c r="N536" s="136"/>
      <c r="O536" s="136"/>
      <c r="P536" s="136"/>
      <c r="Q536" s="136"/>
      <c r="R536" s="136"/>
      <c r="S536" s="136"/>
      <c r="T536" s="136"/>
      <c r="U536" s="136"/>
      <c r="V536" s="136"/>
      <c r="W536" s="136"/>
      <c r="X536" s="136"/>
      <c r="Y536" s="136"/>
      <c r="Z536" s="136"/>
      <c r="AA536" s="136"/>
      <c r="AB536" s="136"/>
      <c r="AC536" s="136"/>
      <c r="AD536" s="136"/>
      <c r="AE536" s="355">
        <f t="shared" si="82"/>
        <v>0</v>
      </c>
      <c r="AF536" s="272" t="s">
        <v>1101</v>
      </c>
      <c r="AG536" s="136"/>
      <c r="AH536" s="136"/>
      <c r="AI536" s="136"/>
    </row>
    <row r="537" spans="1:35" ht="18.75" customHeight="1" x14ac:dyDescent="0.3">
      <c r="A537" s="669">
        <v>45558</v>
      </c>
      <c r="B537" s="136"/>
      <c r="C537" s="136"/>
      <c r="D537" s="136"/>
      <c r="E537" s="136"/>
      <c r="F537" s="136"/>
      <c r="G537" s="136"/>
      <c r="H537" s="136"/>
      <c r="I537" s="136"/>
      <c r="J537" s="136"/>
      <c r="K537" s="136"/>
      <c r="L537" s="136"/>
      <c r="M537" s="136"/>
      <c r="N537" s="136"/>
      <c r="O537" s="136"/>
      <c r="P537" s="136"/>
      <c r="Q537" s="136"/>
      <c r="R537" s="136"/>
      <c r="S537" s="136"/>
      <c r="T537" s="136"/>
      <c r="U537" s="136"/>
      <c r="V537" s="136"/>
      <c r="W537" s="136"/>
      <c r="X537" s="136"/>
      <c r="Y537" s="136"/>
      <c r="Z537" s="136"/>
      <c r="AA537" s="136"/>
      <c r="AB537" s="136"/>
      <c r="AC537" s="136"/>
      <c r="AD537" s="136"/>
      <c r="AE537" s="355">
        <f t="shared" si="82"/>
        <v>0</v>
      </c>
      <c r="AF537" s="272" t="s">
        <v>1102</v>
      </c>
      <c r="AG537" s="136"/>
      <c r="AH537" s="136"/>
      <c r="AI537" s="136"/>
    </row>
    <row r="538" spans="1:35" ht="18.75" customHeight="1" x14ac:dyDescent="0.3">
      <c r="A538" s="669">
        <v>45558</v>
      </c>
      <c r="B538" s="136"/>
      <c r="C538" s="136"/>
      <c r="D538" s="136"/>
      <c r="E538" s="136"/>
      <c r="F538" s="136"/>
      <c r="G538" s="136"/>
      <c r="H538" s="136"/>
      <c r="I538" s="136"/>
      <c r="J538" s="136"/>
      <c r="K538" s="136"/>
      <c r="L538" s="136"/>
      <c r="M538" s="136"/>
      <c r="N538" s="136"/>
      <c r="O538" s="136"/>
      <c r="P538" s="136"/>
      <c r="Q538" s="136"/>
      <c r="R538" s="136"/>
      <c r="S538" s="136"/>
      <c r="T538" s="136"/>
      <c r="U538" s="136"/>
      <c r="V538" s="136"/>
      <c r="W538" s="136"/>
      <c r="X538" s="136"/>
      <c r="Y538" s="136"/>
      <c r="Z538" s="136"/>
      <c r="AA538" s="136"/>
      <c r="AB538" s="136"/>
      <c r="AC538" s="136"/>
      <c r="AD538" s="136"/>
      <c r="AE538" s="355">
        <f t="shared" si="82"/>
        <v>0</v>
      </c>
      <c r="AF538" s="272" t="s">
        <v>1103</v>
      </c>
      <c r="AG538" s="136"/>
      <c r="AH538" s="136"/>
      <c r="AI538" s="136"/>
    </row>
    <row r="539" spans="1:35" ht="18.75" customHeight="1" x14ac:dyDescent="0.3">
      <c r="A539" s="342">
        <v>45559</v>
      </c>
      <c r="B539" s="136"/>
      <c r="C539" s="136"/>
      <c r="D539" s="136"/>
      <c r="E539" s="136"/>
      <c r="F539" s="136"/>
      <c r="G539" s="136"/>
      <c r="H539" s="136"/>
      <c r="I539" s="136"/>
      <c r="J539" s="136"/>
      <c r="K539" s="136"/>
      <c r="L539" s="136"/>
      <c r="M539" s="136"/>
      <c r="N539" s="136"/>
      <c r="O539" s="136"/>
      <c r="P539" s="136"/>
      <c r="Q539" s="136"/>
      <c r="R539" s="136"/>
      <c r="S539" s="136"/>
      <c r="T539" s="136"/>
      <c r="U539" s="136"/>
      <c r="V539" s="136"/>
      <c r="W539" s="136"/>
      <c r="X539" s="136"/>
      <c r="Y539" s="136"/>
      <c r="Z539" s="136"/>
      <c r="AA539" s="136"/>
      <c r="AB539" s="136"/>
      <c r="AC539" s="136"/>
      <c r="AD539" s="136"/>
      <c r="AE539" s="355">
        <f t="shared" si="82"/>
        <v>0</v>
      </c>
      <c r="AF539" s="272" t="s">
        <v>1108</v>
      </c>
      <c r="AG539" s="136"/>
      <c r="AH539" s="136"/>
      <c r="AI539" s="136"/>
    </row>
    <row r="540" spans="1:35" ht="18.75" customHeight="1" x14ac:dyDescent="0.3">
      <c r="A540" s="669">
        <v>45559</v>
      </c>
      <c r="B540" s="136"/>
      <c r="C540" s="136"/>
      <c r="D540" s="136"/>
      <c r="E540" s="136"/>
      <c r="F540" s="136"/>
      <c r="G540" s="136"/>
      <c r="H540" s="136"/>
      <c r="I540" s="136"/>
      <c r="J540" s="136"/>
      <c r="K540" s="136"/>
      <c r="L540" s="136"/>
      <c r="M540" s="136"/>
      <c r="N540" s="136"/>
      <c r="O540" s="136"/>
      <c r="P540" s="136"/>
      <c r="Q540" s="136"/>
      <c r="R540" s="136"/>
      <c r="S540" s="136"/>
      <c r="T540" s="136"/>
      <c r="U540" s="136"/>
      <c r="V540" s="136"/>
      <c r="W540" s="136"/>
      <c r="X540" s="136"/>
      <c r="Y540" s="136"/>
      <c r="Z540" s="136"/>
      <c r="AA540" s="136"/>
      <c r="AB540" s="136"/>
      <c r="AC540" s="136"/>
      <c r="AD540" s="136"/>
      <c r="AE540" s="355">
        <f t="shared" si="82"/>
        <v>0</v>
      </c>
      <c r="AF540" s="272" t="s">
        <v>1108</v>
      </c>
      <c r="AG540" s="136"/>
      <c r="AH540" s="136"/>
      <c r="AI540" s="136"/>
    </row>
    <row r="541" spans="1:35" ht="18.75" customHeight="1" x14ac:dyDescent="0.3">
      <c r="A541" s="669">
        <v>45559</v>
      </c>
      <c r="B541" s="136"/>
      <c r="C541" s="136"/>
      <c r="D541" s="136"/>
      <c r="E541" s="136"/>
      <c r="F541" s="136"/>
      <c r="G541" s="136"/>
      <c r="H541" s="136"/>
      <c r="I541" s="136"/>
      <c r="J541" s="136"/>
      <c r="K541" s="136"/>
      <c r="L541" s="136"/>
      <c r="M541" s="136"/>
      <c r="N541" s="136"/>
      <c r="O541" s="136"/>
      <c r="P541" s="136"/>
      <c r="Q541" s="136"/>
      <c r="R541" s="136"/>
      <c r="S541" s="136"/>
      <c r="T541" s="136"/>
      <c r="U541" s="136"/>
      <c r="V541" s="136"/>
      <c r="W541" s="136"/>
      <c r="X541" s="136"/>
      <c r="Y541" s="136"/>
      <c r="Z541" s="136"/>
      <c r="AA541" s="136"/>
      <c r="AB541" s="136"/>
      <c r="AC541" s="136"/>
      <c r="AD541" s="136"/>
      <c r="AE541" s="355">
        <f t="shared" si="82"/>
        <v>0</v>
      </c>
      <c r="AF541" s="272" t="s">
        <v>1108</v>
      </c>
      <c r="AG541" s="136"/>
      <c r="AH541" s="136"/>
      <c r="AI541" s="136"/>
    </row>
    <row r="542" spans="1:35" ht="18.75" customHeight="1" x14ac:dyDescent="0.3">
      <c r="A542" s="281">
        <v>45560</v>
      </c>
      <c r="B542" s="136"/>
      <c r="C542" s="136"/>
      <c r="D542" s="136"/>
      <c r="E542" s="136"/>
      <c r="F542" s="136"/>
      <c r="G542" s="136"/>
      <c r="H542" s="136"/>
      <c r="I542" s="136"/>
      <c r="J542" s="136"/>
      <c r="K542" s="136"/>
      <c r="L542" s="136"/>
      <c r="M542" s="136"/>
      <c r="N542" s="136"/>
      <c r="O542" s="136"/>
      <c r="P542" s="136"/>
      <c r="Q542" s="136"/>
      <c r="R542" s="136"/>
      <c r="S542" s="136"/>
      <c r="T542" s="136"/>
      <c r="U542" s="136"/>
      <c r="V542" s="136"/>
      <c r="W542" s="136"/>
      <c r="X542" s="136"/>
      <c r="Y542" s="136"/>
      <c r="Z542" s="136"/>
      <c r="AA542" s="136"/>
      <c r="AB542" s="136"/>
      <c r="AC542" s="136"/>
      <c r="AD542" s="136"/>
      <c r="AE542" s="355">
        <f>SUM(C542:AD542)</f>
        <v>0</v>
      </c>
      <c r="AF542" s="272" t="s">
        <v>1115</v>
      </c>
      <c r="AG542" s="136"/>
      <c r="AH542" s="136"/>
      <c r="AI542" s="136"/>
    </row>
    <row r="543" spans="1:35" ht="18.75" customHeight="1" x14ac:dyDescent="0.3">
      <c r="A543" s="281">
        <v>45560</v>
      </c>
      <c r="B543" s="136"/>
      <c r="C543" s="136"/>
      <c r="D543" s="136"/>
      <c r="E543" s="136"/>
      <c r="F543" s="136"/>
      <c r="G543" s="136"/>
      <c r="H543" s="136"/>
      <c r="I543" s="136"/>
      <c r="J543" s="136"/>
      <c r="K543" s="136"/>
      <c r="L543" s="136"/>
      <c r="M543" s="136"/>
      <c r="N543" s="136"/>
      <c r="O543" s="136"/>
      <c r="P543" s="136"/>
      <c r="Q543" s="136"/>
      <c r="R543" s="136"/>
      <c r="S543" s="136"/>
      <c r="T543" s="136"/>
      <c r="U543" s="136"/>
      <c r="V543" s="136"/>
      <c r="W543" s="136"/>
      <c r="X543" s="136"/>
      <c r="Y543" s="136"/>
      <c r="Z543" s="136"/>
      <c r="AA543" s="136"/>
      <c r="AB543" s="136"/>
      <c r="AC543" s="136"/>
      <c r="AD543" s="136"/>
      <c r="AE543" s="355">
        <f t="shared" ref="AE543:AE581" si="83">SUM(B543:AD543)</f>
        <v>0</v>
      </c>
      <c r="AF543" s="272" t="s">
        <v>1114</v>
      </c>
      <c r="AG543" s="136"/>
      <c r="AH543" s="136"/>
      <c r="AI543" s="136"/>
    </row>
    <row r="544" spans="1:35" ht="18.75" customHeight="1" x14ac:dyDescent="0.3">
      <c r="A544" s="281">
        <v>45561</v>
      </c>
      <c r="B544" s="136"/>
      <c r="C544" s="136"/>
      <c r="D544" s="136"/>
      <c r="E544" s="136"/>
      <c r="F544" s="136"/>
      <c r="G544" s="136"/>
      <c r="H544" s="136"/>
      <c r="I544" s="136"/>
      <c r="J544" s="136"/>
      <c r="K544" s="136"/>
      <c r="L544" s="136"/>
      <c r="M544" s="136"/>
      <c r="N544" s="136"/>
      <c r="O544" s="136"/>
      <c r="P544" s="136"/>
      <c r="Q544" s="136"/>
      <c r="R544" s="136"/>
      <c r="S544" s="136"/>
      <c r="T544" s="136"/>
      <c r="U544" s="136"/>
      <c r="V544" s="136"/>
      <c r="W544" s="136"/>
      <c r="X544" s="136"/>
      <c r="Y544" s="136"/>
      <c r="Z544" s="136"/>
      <c r="AA544" s="136"/>
      <c r="AB544" s="136"/>
      <c r="AC544" s="136"/>
      <c r="AD544" s="136"/>
      <c r="AE544" s="355">
        <f t="shared" si="83"/>
        <v>0</v>
      </c>
      <c r="AF544" s="272" t="s">
        <v>1121</v>
      </c>
      <c r="AG544" s="136"/>
      <c r="AH544" s="136"/>
      <c r="AI544" s="136"/>
    </row>
    <row r="545" spans="1:35" ht="18.75" customHeight="1" x14ac:dyDescent="0.3">
      <c r="A545" s="281">
        <v>45561</v>
      </c>
      <c r="B545" s="136"/>
      <c r="C545" s="136"/>
      <c r="D545" s="136"/>
      <c r="E545" s="136"/>
      <c r="F545" s="136"/>
      <c r="G545" s="136"/>
      <c r="H545" s="136"/>
      <c r="I545" s="136"/>
      <c r="J545" s="136"/>
      <c r="K545" s="136"/>
      <c r="L545" s="136"/>
      <c r="M545" s="136"/>
      <c r="N545" s="136"/>
      <c r="O545" s="136"/>
      <c r="P545" s="136"/>
      <c r="Q545" s="136"/>
      <c r="R545" s="136"/>
      <c r="S545" s="136"/>
      <c r="T545" s="136"/>
      <c r="U545" s="136"/>
      <c r="V545" s="136"/>
      <c r="W545" s="136"/>
      <c r="X545" s="136"/>
      <c r="Y545" s="136"/>
      <c r="Z545" s="136"/>
      <c r="AA545" s="136"/>
      <c r="AB545" s="136"/>
      <c r="AC545" s="136"/>
      <c r="AD545" s="136"/>
      <c r="AE545" s="355">
        <f t="shared" si="83"/>
        <v>0</v>
      </c>
      <c r="AF545" s="272" t="s">
        <v>1122</v>
      </c>
      <c r="AG545" s="136"/>
      <c r="AH545" s="136"/>
      <c r="AI545" s="136"/>
    </row>
    <row r="546" spans="1:35" ht="18.75" customHeight="1" x14ac:dyDescent="0.3">
      <c r="A546" s="281">
        <v>45562</v>
      </c>
      <c r="B546" s="136"/>
      <c r="C546" s="136"/>
      <c r="D546" s="136"/>
      <c r="E546" s="136"/>
      <c r="F546" s="136"/>
      <c r="G546" s="136"/>
      <c r="H546" s="136"/>
      <c r="I546" s="136"/>
      <c r="J546" s="136"/>
      <c r="K546" s="136"/>
      <c r="L546" s="136"/>
      <c r="M546" s="136"/>
      <c r="N546" s="136"/>
      <c r="O546" s="136"/>
      <c r="P546" s="136"/>
      <c r="Q546" s="136"/>
      <c r="R546" s="136"/>
      <c r="S546" s="136"/>
      <c r="T546" s="136"/>
      <c r="U546" s="136"/>
      <c r="V546" s="136"/>
      <c r="W546" s="136"/>
      <c r="X546" s="136"/>
      <c r="Y546" s="136"/>
      <c r="Z546" s="136"/>
      <c r="AA546" s="136"/>
      <c r="AB546" s="136"/>
      <c r="AC546" s="136"/>
      <c r="AD546" s="136"/>
      <c r="AE546" s="355">
        <f t="shared" si="83"/>
        <v>0</v>
      </c>
      <c r="AF546" s="272" t="s">
        <v>1124</v>
      </c>
      <c r="AG546" s="136"/>
      <c r="AH546" s="136"/>
      <c r="AI546" s="136"/>
    </row>
    <row r="547" spans="1:35" ht="18.75" customHeight="1" x14ac:dyDescent="0.3">
      <c r="A547" s="281">
        <v>45562</v>
      </c>
      <c r="B547" s="136"/>
      <c r="C547" s="136"/>
      <c r="D547" s="136"/>
      <c r="E547" s="136"/>
      <c r="F547" s="136"/>
      <c r="G547" s="136"/>
      <c r="H547" s="136"/>
      <c r="I547" s="136"/>
      <c r="J547" s="136"/>
      <c r="K547" s="136"/>
      <c r="L547" s="136"/>
      <c r="M547" s="136"/>
      <c r="N547" s="136"/>
      <c r="O547" s="136"/>
      <c r="P547" s="136"/>
      <c r="Q547" s="136"/>
      <c r="R547" s="136"/>
      <c r="S547" s="136"/>
      <c r="T547" s="136"/>
      <c r="U547" s="136"/>
      <c r="V547" s="136"/>
      <c r="W547" s="136"/>
      <c r="X547" s="136"/>
      <c r="Y547" s="136"/>
      <c r="Z547" s="136"/>
      <c r="AA547" s="136"/>
      <c r="AB547" s="136"/>
      <c r="AC547" s="136"/>
      <c r="AD547" s="136"/>
      <c r="AE547" s="355">
        <f t="shared" si="83"/>
        <v>0</v>
      </c>
      <c r="AF547" s="272" t="s">
        <v>1125</v>
      </c>
      <c r="AG547" s="136"/>
      <c r="AH547" s="136"/>
      <c r="AI547" s="136"/>
    </row>
    <row r="548" spans="1:35" ht="18.75" customHeight="1" x14ac:dyDescent="0.3">
      <c r="A548" s="281">
        <v>45562</v>
      </c>
      <c r="B548" s="136"/>
      <c r="C548" s="136"/>
      <c r="D548" s="136"/>
      <c r="E548" s="136"/>
      <c r="F548" s="136"/>
      <c r="G548" s="136"/>
      <c r="H548" s="136"/>
      <c r="I548" s="136"/>
      <c r="J548" s="136"/>
      <c r="K548" s="136"/>
      <c r="L548" s="136"/>
      <c r="M548" s="136"/>
      <c r="N548" s="136"/>
      <c r="O548" s="136"/>
      <c r="P548" s="136"/>
      <c r="Q548" s="136"/>
      <c r="R548" s="136"/>
      <c r="S548" s="136"/>
      <c r="T548" s="136"/>
      <c r="U548" s="136"/>
      <c r="V548" s="136"/>
      <c r="W548" s="136"/>
      <c r="X548" s="136"/>
      <c r="Y548" s="136"/>
      <c r="Z548" s="136"/>
      <c r="AA548" s="136"/>
      <c r="AB548" s="136"/>
      <c r="AC548" s="136"/>
      <c r="AD548" s="136"/>
      <c r="AE548" s="355">
        <f t="shared" si="83"/>
        <v>0</v>
      </c>
      <c r="AF548" s="272" t="s">
        <v>1125</v>
      </c>
      <c r="AG548" s="136"/>
      <c r="AH548" s="136"/>
      <c r="AI548" s="136"/>
    </row>
    <row r="549" spans="1:35" ht="18.75" customHeight="1" x14ac:dyDescent="0.3">
      <c r="A549" s="281">
        <v>45562</v>
      </c>
      <c r="B549" s="136"/>
      <c r="C549" s="136"/>
      <c r="D549" s="136"/>
      <c r="E549" s="136"/>
      <c r="F549" s="136"/>
      <c r="G549" s="136"/>
      <c r="H549" s="136"/>
      <c r="I549" s="136"/>
      <c r="J549" s="136"/>
      <c r="K549" s="136"/>
      <c r="L549" s="136"/>
      <c r="M549" s="136"/>
      <c r="N549" s="136"/>
      <c r="O549" s="136"/>
      <c r="P549" s="136"/>
      <c r="Q549" s="136"/>
      <c r="R549" s="136"/>
      <c r="S549" s="136"/>
      <c r="T549" s="136"/>
      <c r="U549" s="136"/>
      <c r="V549" s="136"/>
      <c r="W549" s="136"/>
      <c r="X549" s="136"/>
      <c r="Y549" s="136"/>
      <c r="Z549" s="136"/>
      <c r="AA549" s="136"/>
      <c r="AB549" s="136"/>
      <c r="AC549" s="136"/>
      <c r="AD549" s="136"/>
      <c r="AE549" s="355">
        <f t="shared" si="83"/>
        <v>0</v>
      </c>
      <c r="AF549" s="272" t="s">
        <v>1128</v>
      </c>
      <c r="AG549" s="136"/>
      <c r="AH549" s="136"/>
      <c r="AI549" s="136"/>
    </row>
    <row r="550" spans="1:35" ht="18.75" customHeight="1" x14ac:dyDescent="0.3">
      <c r="A550" s="281">
        <v>45562</v>
      </c>
      <c r="B550" s="136"/>
      <c r="C550" s="136"/>
      <c r="D550" s="136"/>
      <c r="E550" s="136"/>
      <c r="F550" s="136"/>
      <c r="G550" s="136"/>
      <c r="H550" s="136"/>
      <c r="I550" s="136"/>
      <c r="J550" s="136"/>
      <c r="K550" s="136"/>
      <c r="L550" s="136"/>
      <c r="M550" s="136"/>
      <c r="N550" s="136"/>
      <c r="O550" s="136"/>
      <c r="P550" s="136"/>
      <c r="Q550" s="136"/>
      <c r="R550" s="136"/>
      <c r="S550" s="136"/>
      <c r="T550" s="136"/>
      <c r="U550" s="136"/>
      <c r="V550" s="136"/>
      <c r="W550" s="136"/>
      <c r="X550" s="136"/>
      <c r="Y550" s="136"/>
      <c r="Z550" s="136"/>
      <c r="AA550" s="136"/>
      <c r="AB550" s="136"/>
      <c r="AC550" s="136"/>
      <c r="AD550" s="136"/>
      <c r="AE550" s="355">
        <f t="shared" si="83"/>
        <v>0</v>
      </c>
      <c r="AF550" s="272" t="s">
        <v>1130</v>
      </c>
      <c r="AG550" s="136"/>
      <c r="AH550" s="136"/>
      <c r="AI550" s="136"/>
    </row>
    <row r="551" spans="1:35" ht="18.75" customHeight="1" x14ac:dyDescent="0.3">
      <c r="A551" s="281">
        <v>45562</v>
      </c>
      <c r="B551" s="136"/>
      <c r="C551" s="136"/>
      <c r="D551" s="136"/>
      <c r="E551" s="136"/>
      <c r="F551" s="136"/>
      <c r="G551" s="136"/>
      <c r="H551" s="136"/>
      <c r="I551" s="136"/>
      <c r="J551" s="136"/>
      <c r="K551" s="136"/>
      <c r="L551" s="136"/>
      <c r="M551" s="136"/>
      <c r="N551" s="136"/>
      <c r="O551" s="136"/>
      <c r="P551" s="136"/>
      <c r="Q551" s="136"/>
      <c r="R551" s="136"/>
      <c r="S551" s="136"/>
      <c r="T551" s="136"/>
      <c r="U551" s="136"/>
      <c r="V551" s="136"/>
      <c r="W551" s="136"/>
      <c r="X551" s="136"/>
      <c r="Y551" s="136"/>
      <c r="Z551" s="136"/>
      <c r="AA551" s="136"/>
      <c r="AB551" s="136"/>
      <c r="AC551" s="136"/>
      <c r="AD551" s="136"/>
      <c r="AE551" s="355">
        <f t="shared" si="83"/>
        <v>0</v>
      </c>
      <c r="AF551" s="272" t="s">
        <v>1134</v>
      </c>
      <c r="AG551" s="136"/>
      <c r="AH551" s="136"/>
      <c r="AI551" s="136"/>
    </row>
    <row r="552" spans="1:35" ht="18.75" customHeight="1" x14ac:dyDescent="0.3">
      <c r="A552" s="281">
        <v>45562</v>
      </c>
      <c r="B552" s="136"/>
      <c r="C552" s="136"/>
      <c r="D552" s="136"/>
      <c r="E552" s="136"/>
      <c r="F552" s="136"/>
      <c r="G552" s="136"/>
      <c r="H552" s="136"/>
      <c r="I552" s="136"/>
      <c r="J552" s="136"/>
      <c r="K552" s="136"/>
      <c r="L552" s="136"/>
      <c r="M552" s="136"/>
      <c r="N552" s="136"/>
      <c r="O552" s="136"/>
      <c r="P552" s="136"/>
      <c r="Q552" s="136"/>
      <c r="R552" s="136"/>
      <c r="S552" s="136"/>
      <c r="T552" s="136"/>
      <c r="U552" s="136"/>
      <c r="V552" s="136"/>
      <c r="W552" s="136"/>
      <c r="X552" s="136"/>
      <c r="Y552" s="136"/>
      <c r="Z552" s="136"/>
      <c r="AA552" s="136"/>
      <c r="AB552" s="136"/>
      <c r="AC552" s="136"/>
      <c r="AD552" s="136"/>
      <c r="AE552" s="355">
        <f t="shared" si="83"/>
        <v>0</v>
      </c>
      <c r="AF552" s="272" t="s">
        <v>1136</v>
      </c>
      <c r="AG552" s="136"/>
      <c r="AH552" s="136"/>
      <c r="AI552" s="136"/>
    </row>
    <row r="553" spans="1:35" ht="18.75" customHeight="1" x14ac:dyDescent="0.3">
      <c r="A553" s="281">
        <v>45562</v>
      </c>
      <c r="B553" s="136"/>
      <c r="C553" s="136"/>
      <c r="D553" s="136"/>
      <c r="E553" s="136"/>
      <c r="F553" s="136"/>
      <c r="G553" s="136"/>
      <c r="H553" s="136"/>
      <c r="I553" s="136"/>
      <c r="J553" s="136"/>
      <c r="K553" s="136"/>
      <c r="L553" s="136"/>
      <c r="M553" s="136"/>
      <c r="N553" s="136"/>
      <c r="O553" s="136"/>
      <c r="P553" s="136"/>
      <c r="Q553" s="136"/>
      <c r="R553" s="136"/>
      <c r="S553" s="136"/>
      <c r="T553" s="136"/>
      <c r="U553" s="136"/>
      <c r="V553" s="136"/>
      <c r="W553" s="136"/>
      <c r="X553" s="136"/>
      <c r="Y553" s="136"/>
      <c r="Z553" s="136"/>
      <c r="AA553" s="136"/>
      <c r="AB553" s="136"/>
      <c r="AC553" s="136"/>
      <c r="AD553" s="136"/>
      <c r="AE553" s="355">
        <f t="shared" si="83"/>
        <v>0</v>
      </c>
      <c r="AF553" s="272" t="s">
        <v>1138</v>
      </c>
      <c r="AG553" s="136"/>
      <c r="AH553" s="136"/>
      <c r="AI553" s="136"/>
    </row>
    <row r="554" spans="1:35" ht="18.75" customHeight="1" x14ac:dyDescent="0.3">
      <c r="A554" s="281">
        <v>45562</v>
      </c>
      <c r="B554" s="136"/>
      <c r="C554" s="136"/>
      <c r="D554" s="136"/>
      <c r="E554" s="136"/>
      <c r="F554" s="136"/>
      <c r="G554" s="136"/>
      <c r="H554" s="136"/>
      <c r="I554" s="136"/>
      <c r="J554" s="136"/>
      <c r="K554" s="136"/>
      <c r="L554" s="136"/>
      <c r="M554" s="136"/>
      <c r="N554" s="136"/>
      <c r="O554" s="136"/>
      <c r="P554" s="136"/>
      <c r="Q554" s="136"/>
      <c r="R554" s="136"/>
      <c r="S554" s="136"/>
      <c r="T554" s="136"/>
      <c r="U554" s="136"/>
      <c r="V554" s="136"/>
      <c r="W554" s="136"/>
      <c r="X554" s="136"/>
      <c r="Y554" s="136"/>
      <c r="Z554" s="136"/>
      <c r="AA554" s="136"/>
      <c r="AB554" s="136"/>
      <c r="AC554" s="136"/>
      <c r="AD554" s="136"/>
      <c r="AE554" s="355">
        <f t="shared" si="83"/>
        <v>0</v>
      </c>
      <c r="AF554" s="272" t="s">
        <v>1140</v>
      </c>
      <c r="AG554" s="136"/>
      <c r="AH554" s="136"/>
      <c r="AI554" s="136"/>
    </row>
    <row r="555" spans="1:35" ht="18.75" customHeight="1" x14ac:dyDescent="0.3">
      <c r="A555" s="281">
        <v>45562</v>
      </c>
      <c r="B555" s="136"/>
      <c r="C555" s="136"/>
      <c r="D555" s="136"/>
      <c r="E555" s="136"/>
      <c r="F555" s="136"/>
      <c r="G555" s="136"/>
      <c r="H555" s="136"/>
      <c r="I555" s="136"/>
      <c r="J555" s="136"/>
      <c r="K555" s="136"/>
      <c r="L555" s="136"/>
      <c r="M555" s="136"/>
      <c r="N555" s="136"/>
      <c r="O555" s="136"/>
      <c r="P555" s="136"/>
      <c r="Q555" s="136"/>
      <c r="R555" s="136"/>
      <c r="S555" s="136"/>
      <c r="T555" s="136"/>
      <c r="U555" s="136"/>
      <c r="V555" s="136"/>
      <c r="W555" s="136"/>
      <c r="X555" s="136"/>
      <c r="Y555" s="136"/>
      <c r="Z555" s="136"/>
      <c r="AA555" s="136"/>
      <c r="AB555" s="136"/>
      <c r="AC555" s="136"/>
      <c r="AD555" s="136"/>
      <c r="AE555" s="355">
        <f t="shared" si="83"/>
        <v>0</v>
      </c>
      <c r="AF555" s="272" t="s">
        <v>1142</v>
      </c>
      <c r="AG555" s="136"/>
      <c r="AH555" s="136"/>
      <c r="AI555" s="136"/>
    </row>
    <row r="556" spans="1:35" ht="18.75" customHeight="1" x14ac:dyDescent="0.3">
      <c r="A556" s="281">
        <v>45562</v>
      </c>
      <c r="B556" s="136"/>
      <c r="C556" s="136"/>
      <c r="D556" s="136"/>
      <c r="E556" s="136"/>
      <c r="F556" s="136"/>
      <c r="G556" s="136"/>
      <c r="H556" s="136"/>
      <c r="I556" s="136"/>
      <c r="J556" s="136"/>
      <c r="K556" s="136"/>
      <c r="L556" s="136"/>
      <c r="M556" s="136"/>
      <c r="N556" s="136"/>
      <c r="O556" s="136"/>
      <c r="P556" s="136"/>
      <c r="Q556" s="136"/>
      <c r="R556" s="136"/>
      <c r="S556" s="136"/>
      <c r="T556" s="136"/>
      <c r="U556" s="136"/>
      <c r="V556" s="136"/>
      <c r="W556" s="136"/>
      <c r="X556" s="136"/>
      <c r="Y556" s="136"/>
      <c r="Z556" s="136"/>
      <c r="AA556" s="136"/>
      <c r="AB556" s="136"/>
      <c r="AC556" s="136"/>
      <c r="AD556" s="136"/>
      <c r="AE556" s="355">
        <f t="shared" si="83"/>
        <v>0</v>
      </c>
      <c r="AF556" s="272" t="s">
        <v>1144</v>
      </c>
      <c r="AG556" s="136"/>
      <c r="AH556" s="136"/>
      <c r="AI556" s="136"/>
    </row>
    <row r="557" spans="1:35" ht="18.75" customHeight="1" x14ac:dyDescent="0.3">
      <c r="A557" s="281">
        <v>45562</v>
      </c>
      <c r="B557" s="136"/>
      <c r="C557" s="136"/>
      <c r="D557" s="136"/>
      <c r="E557" s="136"/>
      <c r="F557" s="136"/>
      <c r="G557" s="136"/>
      <c r="H557" s="136"/>
      <c r="I557" s="136"/>
      <c r="J557" s="136"/>
      <c r="K557" s="136"/>
      <c r="L557" s="136"/>
      <c r="M557" s="136"/>
      <c r="N557" s="136"/>
      <c r="O557" s="136"/>
      <c r="P557" s="136"/>
      <c r="Q557" s="136"/>
      <c r="R557" s="136"/>
      <c r="S557" s="136"/>
      <c r="T557" s="136"/>
      <c r="U557" s="136"/>
      <c r="V557" s="136"/>
      <c r="W557" s="136"/>
      <c r="X557" s="136"/>
      <c r="Y557" s="136"/>
      <c r="Z557" s="136"/>
      <c r="AA557" s="136"/>
      <c r="AB557" s="136"/>
      <c r="AC557" s="136"/>
      <c r="AD557" s="136"/>
      <c r="AE557" s="355">
        <f t="shared" si="83"/>
        <v>0</v>
      </c>
      <c r="AF557" s="272" t="s">
        <v>1146</v>
      </c>
      <c r="AG557" s="136"/>
      <c r="AH557" s="136"/>
      <c r="AI557" s="136"/>
    </row>
    <row r="558" spans="1:35" ht="18.75" customHeight="1" x14ac:dyDescent="0.3">
      <c r="A558" s="281">
        <v>45562</v>
      </c>
      <c r="B558" s="136"/>
      <c r="C558" s="136"/>
      <c r="D558" s="136"/>
      <c r="E558" s="136"/>
      <c r="F558" s="136"/>
      <c r="G558" s="136"/>
      <c r="H558" s="136"/>
      <c r="I558" s="136"/>
      <c r="J558" s="136"/>
      <c r="K558" s="136"/>
      <c r="L558" s="136"/>
      <c r="M558" s="136"/>
      <c r="N558" s="136"/>
      <c r="O558" s="136"/>
      <c r="P558" s="136"/>
      <c r="Q558" s="136"/>
      <c r="R558" s="136"/>
      <c r="S558" s="136"/>
      <c r="T558" s="136"/>
      <c r="U558" s="136"/>
      <c r="V558" s="136"/>
      <c r="W558" s="136"/>
      <c r="X558" s="136"/>
      <c r="Y558" s="136"/>
      <c r="Z558" s="136"/>
      <c r="AA558" s="136"/>
      <c r="AB558" s="136"/>
      <c r="AC558" s="136"/>
      <c r="AD558" s="136"/>
      <c r="AE558" s="355">
        <f t="shared" si="83"/>
        <v>0</v>
      </c>
      <c r="AF558" s="272" t="s">
        <v>1148</v>
      </c>
      <c r="AG558" s="136"/>
      <c r="AH558" s="136"/>
      <c r="AI558" s="136"/>
    </row>
    <row r="559" spans="1:35" ht="18.75" customHeight="1" x14ac:dyDescent="0.3">
      <c r="A559" s="281">
        <v>45562</v>
      </c>
      <c r="B559" s="136"/>
      <c r="C559" s="136"/>
      <c r="D559" s="136"/>
      <c r="E559" s="136"/>
      <c r="F559" s="136"/>
      <c r="G559" s="136"/>
      <c r="H559" s="136"/>
      <c r="I559" s="136"/>
      <c r="J559" s="136"/>
      <c r="K559" s="136"/>
      <c r="L559" s="136"/>
      <c r="M559" s="136"/>
      <c r="N559" s="136"/>
      <c r="O559" s="136"/>
      <c r="P559" s="136"/>
      <c r="Q559" s="136"/>
      <c r="R559" s="136"/>
      <c r="S559" s="136"/>
      <c r="T559" s="136"/>
      <c r="U559" s="136"/>
      <c r="V559" s="136"/>
      <c r="W559" s="136"/>
      <c r="X559" s="136"/>
      <c r="Y559" s="136"/>
      <c r="Z559" s="136"/>
      <c r="AA559" s="136"/>
      <c r="AB559" s="136"/>
      <c r="AC559" s="136"/>
      <c r="AD559" s="136"/>
      <c r="AE559" s="355">
        <f t="shared" si="83"/>
        <v>0</v>
      </c>
      <c r="AF559" s="272" t="s">
        <v>1150</v>
      </c>
      <c r="AG559" s="136"/>
      <c r="AH559" s="136"/>
      <c r="AI559" s="136"/>
    </row>
    <row r="560" spans="1:35" ht="18.75" customHeight="1" x14ac:dyDescent="0.3">
      <c r="A560" s="281">
        <v>45565</v>
      </c>
      <c r="B560" s="136"/>
      <c r="C560" s="136"/>
      <c r="D560" s="136"/>
      <c r="E560" s="136"/>
      <c r="F560" s="136"/>
      <c r="G560" s="136"/>
      <c r="H560" s="136"/>
      <c r="I560" s="136"/>
      <c r="J560" s="136"/>
      <c r="K560" s="136"/>
      <c r="L560" s="136"/>
      <c r="M560" s="136"/>
      <c r="N560" s="136"/>
      <c r="O560" s="136"/>
      <c r="P560" s="136"/>
      <c r="Q560" s="136"/>
      <c r="R560" s="136"/>
      <c r="S560" s="136"/>
      <c r="T560" s="136"/>
      <c r="U560" s="136"/>
      <c r="V560" s="136"/>
      <c r="W560" s="136"/>
      <c r="X560" s="136"/>
      <c r="Y560" s="136"/>
      <c r="Z560" s="136"/>
      <c r="AA560" s="136"/>
      <c r="AB560" s="136"/>
      <c r="AC560" s="136"/>
      <c r="AD560" s="136"/>
      <c r="AE560" s="355">
        <f t="shared" si="83"/>
        <v>0</v>
      </c>
      <c r="AF560" s="272" t="s">
        <v>1152</v>
      </c>
      <c r="AG560" s="136"/>
      <c r="AH560" s="136"/>
      <c r="AI560" s="136"/>
    </row>
    <row r="561" spans="1:35" ht="18.75" customHeight="1" x14ac:dyDescent="0.3">
      <c r="A561" s="281">
        <v>45565</v>
      </c>
      <c r="B561" s="136"/>
      <c r="C561" s="136"/>
      <c r="D561" s="136"/>
      <c r="E561" s="136"/>
      <c r="F561" s="136"/>
      <c r="G561" s="136"/>
      <c r="H561" s="136"/>
      <c r="I561" s="136"/>
      <c r="J561" s="136"/>
      <c r="K561" s="136"/>
      <c r="L561" s="136"/>
      <c r="M561" s="136"/>
      <c r="N561" s="136"/>
      <c r="O561" s="136"/>
      <c r="P561" s="136"/>
      <c r="Q561" s="136"/>
      <c r="R561" s="136"/>
      <c r="S561" s="136"/>
      <c r="T561" s="136"/>
      <c r="U561" s="136"/>
      <c r="V561" s="136"/>
      <c r="W561" s="136"/>
      <c r="X561" s="136"/>
      <c r="Y561" s="136"/>
      <c r="Z561" s="136"/>
      <c r="AA561" s="136"/>
      <c r="AB561" s="136"/>
      <c r="AC561" s="136"/>
      <c r="AD561" s="136"/>
      <c r="AE561" s="355">
        <f t="shared" si="83"/>
        <v>0</v>
      </c>
      <c r="AF561" s="272" t="s">
        <v>1155</v>
      </c>
      <c r="AG561" s="136"/>
      <c r="AH561" s="136"/>
      <c r="AI561" s="136"/>
    </row>
    <row r="562" spans="1:35" ht="18.75" customHeight="1" x14ac:dyDescent="0.3">
      <c r="A562" s="281">
        <v>45565</v>
      </c>
      <c r="B562" s="136"/>
      <c r="C562" s="136"/>
      <c r="D562" s="136"/>
      <c r="E562" s="136"/>
      <c r="F562" s="136"/>
      <c r="G562" s="136"/>
      <c r="H562" s="136"/>
      <c r="I562" s="136"/>
      <c r="J562" s="136"/>
      <c r="K562" s="136"/>
      <c r="L562" s="136"/>
      <c r="M562" s="136"/>
      <c r="N562" s="136"/>
      <c r="O562" s="136"/>
      <c r="P562" s="136"/>
      <c r="Q562" s="136"/>
      <c r="R562" s="136"/>
      <c r="S562" s="136"/>
      <c r="T562" s="136"/>
      <c r="U562" s="136"/>
      <c r="V562" s="136"/>
      <c r="W562" s="136"/>
      <c r="X562" s="136"/>
      <c r="Y562" s="136"/>
      <c r="Z562" s="136"/>
      <c r="AA562" s="136"/>
      <c r="AB562" s="136"/>
      <c r="AC562" s="136"/>
      <c r="AD562" s="136"/>
      <c r="AE562" s="355">
        <f t="shared" si="83"/>
        <v>0</v>
      </c>
      <c r="AF562" s="272" t="s">
        <v>1161</v>
      </c>
      <c r="AG562" s="136"/>
      <c r="AH562" s="136"/>
      <c r="AI562" s="136"/>
    </row>
    <row r="563" spans="1:35" ht="18.75" customHeight="1" x14ac:dyDescent="0.3">
      <c r="A563" s="281">
        <v>45565</v>
      </c>
      <c r="B563" s="136"/>
      <c r="C563" s="136"/>
      <c r="D563" s="136"/>
      <c r="E563" s="136"/>
      <c r="F563" s="136"/>
      <c r="G563" s="136"/>
      <c r="H563" s="136"/>
      <c r="I563" s="136"/>
      <c r="J563" s="136"/>
      <c r="K563" s="136"/>
      <c r="L563" s="136"/>
      <c r="M563" s="136"/>
      <c r="N563" s="136"/>
      <c r="O563" s="136"/>
      <c r="P563" s="136"/>
      <c r="Q563" s="136"/>
      <c r="R563" s="136"/>
      <c r="S563" s="136"/>
      <c r="T563" s="136"/>
      <c r="U563" s="136"/>
      <c r="V563" s="136"/>
      <c r="W563" s="136"/>
      <c r="X563" s="136"/>
      <c r="Y563" s="136"/>
      <c r="Z563" s="136"/>
      <c r="AA563" s="136"/>
      <c r="AB563" s="136"/>
      <c r="AC563" s="136"/>
      <c r="AD563" s="136"/>
      <c r="AE563" s="355">
        <f t="shared" si="83"/>
        <v>0</v>
      </c>
      <c r="AF563" s="272" t="s">
        <v>1162</v>
      </c>
      <c r="AG563" s="136"/>
      <c r="AH563" s="136"/>
      <c r="AI563" s="136"/>
    </row>
    <row r="564" spans="1:35" ht="18.75" customHeight="1" x14ac:dyDescent="0.3">
      <c r="A564" s="281">
        <v>45565</v>
      </c>
      <c r="B564" s="136"/>
      <c r="C564" s="136"/>
      <c r="D564" s="136"/>
      <c r="E564" s="136"/>
      <c r="F564" s="136"/>
      <c r="G564" s="136"/>
      <c r="H564" s="136"/>
      <c r="I564" s="136"/>
      <c r="J564" s="136"/>
      <c r="K564" s="136"/>
      <c r="L564" s="136"/>
      <c r="M564" s="136"/>
      <c r="N564" s="136"/>
      <c r="O564" s="136"/>
      <c r="P564" s="136"/>
      <c r="Q564" s="136"/>
      <c r="R564" s="136"/>
      <c r="S564" s="136"/>
      <c r="T564" s="136"/>
      <c r="U564" s="136"/>
      <c r="V564" s="136"/>
      <c r="W564" s="136"/>
      <c r="X564" s="136"/>
      <c r="Y564" s="136"/>
      <c r="Z564" s="136"/>
      <c r="AA564" s="136"/>
      <c r="AB564" s="136"/>
      <c r="AC564" s="136"/>
      <c r="AD564" s="136"/>
      <c r="AE564" s="355">
        <f t="shared" si="83"/>
        <v>0</v>
      </c>
      <c r="AF564" s="272" t="s">
        <v>1163</v>
      </c>
      <c r="AG564" s="136"/>
      <c r="AH564" s="136"/>
      <c r="AI564" s="136"/>
    </row>
    <row r="565" spans="1:35" ht="18.75" customHeight="1" x14ac:dyDescent="0.3">
      <c r="A565" s="281">
        <v>45565</v>
      </c>
      <c r="B565" s="136"/>
      <c r="C565" s="136"/>
      <c r="D565" s="136"/>
      <c r="E565" s="136"/>
      <c r="F565" s="136"/>
      <c r="G565" s="136"/>
      <c r="H565" s="136"/>
      <c r="I565" s="136"/>
      <c r="J565" s="136"/>
      <c r="K565" s="136"/>
      <c r="L565" s="136"/>
      <c r="M565" s="136"/>
      <c r="N565" s="136"/>
      <c r="O565" s="136"/>
      <c r="P565" s="136"/>
      <c r="Q565" s="136"/>
      <c r="R565" s="136"/>
      <c r="S565" s="136"/>
      <c r="T565" s="136"/>
      <c r="U565" s="136"/>
      <c r="V565" s="136"/>
      <c r="W565" s="136"/>
      <c r="X565" s="136"/>
      <c r="Y565" s="136"/>
      <c r="Z565" s="136"/>
      <c r="AA565" s="136"/>
      <c r="AB565" s="136"/>
      <c r="AC565" s="136"/>
      <c r="AD565" s="136"/>
      <c r="AE565" s="355">
        <f t="shared" si="83"/>
        <v>0</v>
      </c>
      <c r="AF565" s="272" t="s">
        <v>1166</v>
      </c>
      <c r="AG565" s="136"/>
      <c r="AH565" s="136"/>
      <c r="AI565" s="136"/>
    </row>
    <row r="566" spans="1:35" ht="18.75" customHeight="1" x14ac:dyDescent="0.3">
      <c r="A566" s="281">
        <v>45565</v>
      </c>
      <c r="B566" s="136"/>
      <c r="C566" s="136"/>
      <c r="D566" s="136"/>
      <c r="E566" s="136"/>
      <c r="F566" s="136"/>
      <c r="G566" s="136"/>
      <c r="H566" s="136"/>
      <c r="I566" s="136"/>
      <c r="J566" s="136"/>
      <c r="K566" s="136"/>
      <c r="L566" s="136"/>
      <c r="M566" s="136"/>
      <c r="N566" s="136"/>
      <c r="O566" s="136"/>
      <c r="P566" s="136"/>
      <c r="Q566" s="136"/>
      <c r="R566" s="136"/>
      <c r="S566" s="136"/>
      <c r="T566" s="136"/>
      <c r="U566" s="136"/>
      <c r="V566" s="136"/>
      <c r="W566" s="136"/>
      <c r="X566" s="136"/>
      <c r="Y566" s="136"/>
      <c r="Z566" s="136"/>
      <c r="AA566" s="136"/>
      <c r="AB566" s="136"/>
      <c r="AC566" s="136"/>
      <c r="AD566" s="136"/>
      <c r="AE566" s="355">
        <f t="shared" si="83"/>
        <v>0</v>
      </c>
      <c r="AF566" s="272" t="s">
        <v>1168</v>
      </c>
      <c r="AG566" s="136"/>
      <c r="AH566" s="136"/>
      <c r="AI566" s="136"/>
    </row>
    <row r="567" spans="1:35" ht="18.75" customHeight="1" x14ac:dyDescent="0.3">
      <c r="A567" s="281">
        <v>45565</v>
      </c>
      <c r="B567" s="136"/>
      <c r="C567" s="136"/>
      <c r="D567" s="136"/>
      <c r="E567" s="136"/>
      <c r="F567" s="136"/>
      <c r="G567" s="136"/>
      <c r="H567" s="136"/>
      <c r="I567" s="136"/>
      <c r="J567" s="136"/>
      <c r="K567" s="136"/>
      <c r="L567" s="136"/>
      <c r="M567" s="136"/>
      <c r="N567" s="136"/>
      <c r="O567" s="136"/>
      <c r="P567" s="136"/>
      <c r="Q567" s="136"/>
      <c r="R567" s="136"/>
      <c r="S567" s="136"/>
      <c r="T567" s="136"/>
      <c r="U567" s="136"/>
      <c r="V567" s="136"/>
      <c r="W567" s="136"/>
      <c r="X567" s="136"/>
      <c r="Y567" s="136"/>
      <c r="Z567" s="136"/>
      <c r="AA567" s="136"/>
      <c r="AB567" s="136"/>
      <c r="AC567" s="136"/>
      <c r="AD567" s="136"/>
      <c r="AE567" s="355">
        <f t="shared" si="83"/>
        <v>0</v>
      </c>
      <c r="AF567" s="272" t="s">
        <v>1170</v>
      </c>
      <c r="AG567" s="136"/>
      <c r="AH567" s="136"/>
      <c r="AI567" s="136"/>
    </row>
    <row r="568" spans="1:35" ht="18.75" customHeight="1" x14ac:dyDescent="0.3">
      <c r="A568" s="281">
        <v>45565</v>
      </c>
      <c r="B568" s="136"/>
      <c r="C568" s="136"/>
      <c r="D568" s="136"/>
      <c r="E568" s="136"/>
      <c r="F568" s="136"/>
      <c r="G568" s="136"/>
      <c r="H568" s="136"/>
      <c r="I568" s="136"/>
      <c r="J568" s="136"/>
      <c r="K568" s="136"/>
      <c r="L568" s="136"/>
      <c r="M568" s="136"/>
      <c r="N568" s="136"/>
      <c r="O568" s="136"/>
      <c r="P568" s="136"/>
      <c r="Q568" s="136"/>
      <c r="R568" s="136"/>
      <c r="S568" s="136"/>
      <c r="T568" s="136"/>
      <c r="U568" s="136"/>
      <c r="V568" s="136"/>
      <c r="W568" s="136"/>
      <c r="X568" s="136"/>
      <c r="Y568" s="136"/>
      <c r="Z568" s="136"/>
      <c r="AA568" s="136"/>
      <c r="AB568" s="136"/>
      <c r="AC568" s="136"/>
      <c r="AD568" s="136"/>
      <c r="AE568" s="355">
        <f t="shared" si="83"/>
        <v>0</v>
      </c>
      <c r="AF568" s="272" t="s">
        <v>1171</v>
      </c>
      <c r="AG568" s="136"/>
      <c r="AH568" s="136"/>
      <c r="AI568" s="136"/>
    </row>
    <row r="569" spans="1:35" ht="18.75" customHeight="1" x14ac:dyDescent="0.3">
      <c r="A569" s="281">
        <v>45565</v>
      </c>
      <c r="B569" s="136"/>
      <c r="C569" s="136"/>
      <c r="D569" s="136"/>
      <c r="E569" s="136"/>
      <c r="F569" s="136"/>
      <c r="G569" s="136"/>
      <c r="H569" s="136"/>
      <c r="I569" s="136"/>
      <c r="J569" s="136"/>
      <c r="K569" s="136"/>
      <c r="L569" s="136"/>
      <c r="M569" s="136"/>
      <c r="N569" s="136"/>
      <c r="O569" s="136"/>
      <c r="P569" s="136"/>
      <c r="Q569" s="136"/>
      <c r="R569" s="136"/>
      <c r="S569" s="136"/>
      <c r="T569" s="136"/>
      <c r="U569" s="136"/>
      <c r="V569" s="136"/>
      <c r="W569" s="136"/>
      <c r="X569" s="136"/>
      <c r="Y569" s="136"/>
      <c r="Z569" s="136"/>
      <c r="AA569" s="136"/>
      <c r="AB569" s="136"/>
      <c r="AC569" s="136"/>
      <c r="AD569" s="136"/>
      <c r="AE569" s="355">
        <f t="shared" si="83"/>
        <v>0</v>
      </c>
      <c r="AF569" s="272" t="s">
        <v>1172</v>
      </c>
      <c r="AG569" s="136"/>
      <c r="AH569" s="136"/>
      <c r="AI569" s="136"/>
    </row>
    <row r="570" spans="1:35" ht="18.75" customHeight="1" x14ac:dyDescent="0.3">
      <c r="A570" s="281">
        <v>45565</v>
      </c>
      <c r="B570" s="136"/>
      <c r="C570" s="136"/>
      <c r="D570" s="136"/>
      <c r="E570" s="136"/>
      <c r="F570" s="136"/>
      <c r="G570" s="136"/>
      <c r="H570" s="136"/>
      <c r="I570" s="136"/>
      <c r="J570" s="136"/>
      <c r="K570" s="136"/>
      <c r="L570" s="136"/>
      <c r="M570" s="136"/>
      <c r="N570" s="136"/>
      <c r="O570" s="136"/>
      <c r="P570" s="136"/>
      <c r="Q570" s="136"/>
      <c r="R570" s="136"/>
      <c r="S570" s="136"/>
      <c r="T570" s="136"/>
      <c r="U570" s="136"/>
      <c r="V570" s="136"/>
      <c r="W570" s="136"/>
      <c r="X570" s="136"/>
      <c r="Y570" s="136"/>
      <c r="Z570" s="136"/>
      <c r="AA570" s="136"/>
      <c r="AB570" s="136"/>
      <c r="AC570" s="136"/>
      <c r="AD570" s="136"/>
      <c r="AE570" s="355">
        <f t="shared" si="83"/>
        <v>0</v>
      </c>
      <c r="AF570" s="272" t="s">
        <v>1179</v>
      </c>
      <c r="AG570" s="136"/>
      <c r="AH570" s="136"/>
      <c r="AI570" s="136"/>
    </row>
    <row r="571" spans="1:35" ht="18.75" customHeight="1" x14ac:dyDescent="0.3">
      <c r="A571" s="281">
        <v>45565</v>
      </c>
      <c r="B571" s="136"/>
      <c r="C571" s="136"/>
      <c r="D571" s="136"/>
      <c r="E571" s="136"/>
      <c r="F571" s="136"/>
      <c r="G571" s="136"/>
      <c r="H571" s="136"/>
      <c r="I571" s="136"/>
      <c r="J571" s="136"/>
      <c r="K571" s="136"/>
      <c r="L571" s="136"/>
      <c r="M571" s="136"/>
      <c r="N571" s="136"/>
      <c r="O571" s="136"/>
      <c r="P571" s="136"/>
      <c r="Q571" s="136"/>
      <c r="R571" s="136"/>
      <c r="S571" s="136"/>
      <c r="T571" s="136"/>
      <c r="U571" s="136"/>
      <c r="V571" s="136"/>
      <c r="W571" s="136"/>
      <c r="X571" s="136"/>
      <c r="Y571" s="136"/>
      <c r="Z571" s="136"/>
      <c r="AA571" s="136"/>
      <c r="AB571" s="136"/>
      <c r="AC571" s="136"/>
      <c r="AD571" s="136"/>
      <c r="AE571" s="355">
        <f t="shared" si="83"/>
        <v>0</v>
      </c>
      <c r="AF571" s="272" t="s">
        <v>1180</v>
      </c>
      <c r="AG571" s="136"/>
      <c r="AH571" s="136"/>
      <c r="AI571" s="136"/>
    </row>
    <row r="572" spans="1:35" ht="18.75" customHeight="1" x14ac:dyDescent="0.3">
      <c r="A572" s="281">
        <v>45565</v>
      </c>
      <c r="B572" s="136"/>
      <c r="C572" s="136"/>
      <c r="D572" s="136"/>
      <c r="E572" s="136"/>
      <c r="F572" s="136"/>
      <c r="G572" s="136"/>
      <c r="H572" s="136"/>
      <c r="I572" s="136"/>
      <c r="J572" s="136"/>
      <c r="K572" s="136"/>
      <c r="L572" s="136"/>
      <c r="M572" s="136"/>
      <c r="N572" s="136"/>
      <c r="O572" s="136"/>
      <c r="P572" s="136"/>
      <c r="Q572" s="136"/>
      <c r="R572" s="136"/>
      <c r="S572" s="136"/>
      <c r="T572" s="136"/>
      <c r="U572" s="136"/>
      <c r="V572" s="136"/>
      <c r="W572" s="136"/>
      <c r="X572" s="136"/>
      <c r="Y572" s="136"/>
      <c r="Z572" s="136"/>
      <c r="AA572" s="136"/>
      <c r="AB572" s="136"/>
      <c r="AC572" s="136"/>
      <c r="AD572" s="136"/>
      <c r="AE572" s="355">
        <f t="shared" si="83"/>
        <v>0</v>
      </c>
      <c r="AF572" s="272" t="s">
        <v>1182</v>
      </c>
      <c r="AG572" s="136"/>
      <c r="AH572" s="136"/>
      <c r="AI572" s="136"/>
    </row>
    <row r="573" spans="1:35" ht="18.75" customHeight="1" x14ac:dyDescent="0.3">
      <c r="A573" s="281">
        <v>45562</v>
      </c>
      <c r="B573" s="136"/>
      <c r="C573" s="136"/>
      <c r="D573" s="136"/>
      <c r="E573" s="136"/>
      <c r="F573" s="136"/>
      <c r="G573" s="136"/>
      <c r="H573" s="136"/>
      <c r="I573" s="136"/>
      <c r="J573" s="136"/>
      <c r="K573" s="136"/>
      <c r="L573" s="136"/>
      <c r="M573" s="136"/>
      <c r="N573" s="136"/>
      <c r="O573" s="136"/>
      <c r="P573" s="136"/>
      <c r="Q573" s="136"/>
      <c r="R573" s="136"/>
      <c r="S573" s="136"/>
      <c r="T573" s="136"/>
      <c r="U573" s="136"/>
      <c r="V573" s="136"/>
      <c r="W573" s="136"/>
      <c r="X573" s="136"/>
      <c r="Y573" s="136"/>
      <c r="Z573" s="136"/>
      <c r="AA573" s="136"/>
      <c r="AB573" s="136"/>
      <c r="AC573" s="136"/>
      <c r="AD573" s="136"/>
      <c r="AE573" s="355">
        <f t="shared" si="83"/>
        <v>0</v>
      </c>
      <c r="AF573" s="272" t="s">
        <v>1183</v>
      </c>
      <c r="AG573" s="136"/>
      <c r="AH573" s="136"/>
      <c r="AI573" s="136"/>
    </row>
    <row r="574" spans="1:35" ht="18.75" customHeight="1" x14ac:dyDescent="0.3">
      <c r="A574" s="281">
        <v>45562</v>
      </c>
      <c r="B574" s="136"/>
      <c r="C574" s="136"/>
      <c r="D574" s="136"/>
      <c r="E574" s="136"/>
      <c r="F574" s="136"/>
      <c r="G574" s="136"/>
      <c r="H574" s="136"/>
      <c r="I574" s="136"/>
      <c r="J574" s="136"/>
      <c r="K574" s="136"/>
      <c r="L574" s="136"/>
      <c r="M574" s="136"/>
      <c r="N574" s="136"/>
      <c r="O574" s="136"/>
      <c r="P574" s="136"/>
      <c r="Q574" s="136"/>
      <c r="R574" s="136"/>
      <c r="S574" s="136"/>
      <c r="T574" s="136"/>
      <c r="U574" s="136"/>
      <c r="V574" s="136"/>
      <c r="W574" s="136"/>
      <c r="X574" s="136"/>
      <c r="Y574" s="136"/>
      <c r="Z574" s="136"/>
      <c r="AA574" s="136"/>
      <c r="AB574" s="136"/>
      <c r="AC574" s="136"/>
      <c r="AD574" s="136"/>
      <c r="AE574" s="355">
        <f t="shared" si="83"/>
        <v>0</v>
      </c>
      <c r="AF574" s="272" t="s">
        <v>1185</v>
      </c>
      <c r="AG574" s="136"/>
      <c r="AH574" s="136"/>
      <c r="AI574" s="136"/>
    </row>
    <row r="575" spans="1:35" ht="18.75" customHeight="1" x14ac:dyDescent="0.3">
      <c r="A575" s="281">
        <v>45538</v>
      </c>
      <c r="B575" s="136"/>
      <c r="C575" s="136"/>
      <c r="D575" s="136"/>
      <c r="E575" s="136"/>
      <c r="F575" s="136"/>
      <c r="G575" s="136"/>
      <c r="H575" s="136"/>
      <c r="I575" s="136"/>
      <c r="J575" s="136"/>
      <c r="K575" s="136"/>
      <c r="L575" s="136"/>
      <c r="M575" s="136"/>
      <c r="N575" s="136"/>
      <c r="O575" s="136"/>
      <c r="P575" s="136"/>
      <c r="Q575" s="136"/>
      <c r="R575" s="136"/>
      <c r="S575" s="136"/>
      <c r="T575" s="136"/>
      <c r="U575" s="136"/>
      <c r="V575" s="136"/>
      <c r="W575" s="136"/>
      <c r="X575" s="136"/>
      <c r="Y575" s="136"/>
      <c r="Z575" s="136"/>
      <c r="AA575" s="136"/>
      <c r="AB575" s="136"/>
      <c r="AC575" s="136"/>
      <c r="AD575" s="136"/>
      <c r="AE575" s="355">
        <f t="shared" si="83"/>
        <v>0</v>
      </c>
      <c r="AF575" s="681" t="s">
        <v>1193</v>
      </c>
      <c r="AG575" s="136"/>
      <c r="AH575" s="136"/>
      <c r="AI575" s="136"/>
    </row>
    <row r="576" spans="1:35" ht="18.75" customHeight="1" x14ac:dyDescent="0.3">
      <c r="A576" s="281">
        <v>45539</v>
      </c>
      <c r="B576" s="136"/>
      <c r="C576" s="136"/>
      <c r="D576" s="136"/>
      <c r="E576" s="136"/>
      <c r="F576" s="136"/>
      <c r="G576" s="136"/>
      <c r="H576" s="136"/>
      <c r="I576" s="136"/>
      <c r="J576" s="136"/>
      <c r="K576" s="136"/>
      <c r="L576" s="136"/>
      <c r="M576" s="136"/>
      <c r="N576" s="136"/>
      <c r="O576" s="136"/>
      <c r="P576" s="136"/>
      <c r="Q576" s="136"/>
      <c r="R576" s="136"/>
      <c r="S576" s="136"/>
      <c r="T576" s="136"/>
      <c r="U576" s="136"/>
      <c r="V576" s="136"/>
      <c r="W576" s="136"/>
      <c r="X576" s="136"/>
      <c r="Y576" s="136"/>
      <c r="Z576" s="136"/>
      <c r="AA576" s="136"/>
      <c r="AB576" s="136"/>
      <c r="AC576" s="136"/>
      <c r="AD576" s="136"/>
      <c r="AE576" s="355">
        <f t="shared" si="83"/>
        <v>0</v>
      </c>
      <c r="AF576" s="681" t="s">
        <v>1194</v>
      </c>
      <c r="AG576" s="136"/>
      <c r="AH576" s="136"/>
      <c r="AI576" s="136"/>
    </row>
    <row r="577" spans="1:35" ht="18.75" customHeight="1" x14ac:dyDescent="0.3">
      <c r="A577" s="342">
        <v>45560</v>
      </c>
      <c r="B577" s="136"/>
      <c r="C577" s="136"/>
      <c r="D577" s="136"/>
      <c r="E577" s="136"/>
      <c r="F577" s="136"/>
      <c r="G577" s="136"/>
      <c r="H577" s="136"/>
      <c r="I577" s="136"/>
      <c r="J577" s="136"/>
      <c r="K577" s="136"/>
      <c r="L577" s="136"/>
      <c r="M577" s="136"/>
      <c r="N577" s="136"/>
      <c r="O577" s="136"/>
      <c r="P577" s="136"/>
      <c r="Q577" s="136"/>
      <c r="R577" s="136"/>
      <c r="S577" s="136"/>
      <c r="T577" s="136"/>
      <c r="U577" s="136"/>
      <c r="V577" s="136"/>
      <c r="W577" s="136"/>
      <c r="X577" s="136"/>
      <c r="Y577" s="136"/>
      <c r="Z577" s="136"/>
      <c r="AA577" s="136"/>
      <c r="AB577" s="136"/>
      <c r="AC577" s="136"/>
      <c r="AD577" s="136"/>
      <c r="AE577" s="355">
        <f t="shared" si="83"/>
        <v>0</v>
      </c>
      <c r="AF577" s="681" t="s">
        <v>1195</v>
      </c>
      <c r="AG577" s="136"/>
      <c r="AH577" s="136"/>
      <c r="AI577" s="136"/>
    </row>
    <row r="578" spans="1:35" ht="18.75" customHeight="1" x14ac:dyDescent="0.3">
      <c r="A578" s="136"/>
      <c r="B578" s="136"/>
      <c r="C578" s="136"/>
      <c r="D578" s="136"/>
      <c r="E578" s="136"/>
      <c r="F578" s="136"/>
      <c r="G578" s="136"/>
      <c r="H578" s="136"/>
      <c r="I578" s="136"/>
      <c r="J578" s="136"/>
      <c r="K578" s="136"/>
      <c r="L578" s="136"/>
      <c r="M578" s="136"/>
      <c r="N578" s="136"/>
      <c r="O578" s="136"/>
      <c r="P578" s="136"/>
      <c r="Q578" s="136"/>
      <c r="R578" s="136"/>
      <c r="S578" s="136"/>
      <c r="T578" s="136"/>
      <c r="U578" s="136"/>
      <c r="V578" s="136"/>
      <c r="W578" s="136"/>
      <c r="X578" s="136"/>
      <c r="Y578" s="136"/>
      <c r="Z578" s="136"/>
      <c r="AA578" s="136"/>
      <c r="AB578" s="136"/>
      <c r="AC578" s="136"/>
      <c r="AD578" s="136"/>
      <c r="AE578" s="355">
        <f t="shared" si="83"/>
        <v>0</v>
      </c>
      <c r="AF578" s="272"/>
      <c r="AG578" s="136"/>
      <c r="AH578" s="136"/>
      <c r="AI578" s="136"/>
    </row>
    <row r="579" spans="1:35" ht="18.75" customHeight="1" x14ac:dyDescent="0.3">
      <c r="A579" s="287" t="s">
        <v>257</v>
      </c>
      <c r="B579" s="279">
        <f>SUM(B490:B577)</f>
        <v>0</v>
      </c>
      <c r="C579" s="279">
        <f>SUM(C490:C578)</f>
        <v>0</v>
      </c>
      <c r="D579" s="279">
        <f t="shared" ref="D579:AD579" si="84">SUM(D490:D578)</f>
        <v>0</v>
      </c>
      <c r="E579" s="279">
        <f t="shared" si="84"/>
        <v>0</v>
      </c>
      <c r="F579" s="279">
        <f t="shared" si="84"/>
        <v>0</v>
      </c>
      <c r="G579" s="279">
        <f t="shared" si="84"/>
        <v>0</v>
      </c>
      <c r="H579" s="279">
        <f t="shared" si="84"/>
        <v>0</v>
      </c>
      <c r="I579" s="279">
        <f t="shared" si="84"/>
        <v>0</v>
      </c>
      <c r="J579" s="279">
        <f t="shared" si="84"/>
        <v>0</v>
      </c>
      <c r="K579" s="279">
        <f t="shared" si="84"/>
        <v>0</v>
      </c>
      <c r="L579" s="279">
        <f t="shared" si="84"/>
        <v>0</v>
      </c>
      <c r="M579" s="279">
        <f t="shared" si="84"/>
        <v>0</v>
      </c>
      <c r="N579" s="279">
        <f t="shared" si="84"/>
        <v>0</v>
      </c>
      <c r="O579" s="279">
        <f t="shared" si="84"/>
        <v>0</v>
      </c>
      <c r="P579" s="279">
        <f t="shared" si="84"/>
        <v>0</v>
      </c>
      <c r="Q579" s="279">
        <f t="shared" si="84"/>
        <v>0</v>
      </c>
      <c r="R579" s="279">
        <f t="shared" si="84"/>
        <v>0</v>
      </c>
      <c r="S579" s="279">
        <f t="shared" si="84"/>
        <v>0</v>
      </c>
      <c r="T579" s="279">
        <f t="shared" si="84"/>
        <v>0</v>
      </c>
      <c r="U579" s="279">
        <f t="shared" si="84"/>
        <v>0</v>
      </c>
      <c r="V579" s="279">
        <f t="shared" si="84"/>
        <v>0</v>
      </c>
      <c r="W579" s="279">
        <f t="shared" si="84"/>
        <v>0</v>
      </c>
      <c r="X579" s="279">
        <f t="shared" si="84"/>
        <v>0</v>
      </c>
      <c r="Y579" s="279">
        <f t="shared" si="84"/>
        <v>0</v>
      </c>
      <c r="Z579" s="279">
        <f t="shared" ref="Z579:AA579" si="85">SUM(Z490:Z578)</f>
        <v>0</v>
      </c>
      <c r="AA579" s="279">
        <f t="shared" si="85"/>
        <v>0</v>
      </c>
      <c r="AB579" s="279">
        <f t="shared" si="84"/>
        <v>0</v>
      </c>
      <c r="AC579" s="279">
        <f t="shared" si="84"/>
        <v>0</v>
      </c>
      <c r="AD579" s="279">
        <f t="shared" si="84"/>
        <v>0</v>
      </c>
      <c r="AE579" s="280">
        <f t="shared" si="83"/>
        <v>0</v>
      </c>
      <c r="AF579" s="339"/>
      <c r="AG579" s="340"/>
      <c r="AH579" s="340"/>
      <c r="AI579" s="340"/>
    </row>
    <row r="580" spans="1:35" ht="18.75" customHeight="1" x14ac:dyDescent="0.3">
      <c r="A580" s="287" t="s">
        <v>258</v>
      </c>
      <c r="B580" s="279">
        <f t="shared" ref="B580:AD580" si="86">SUM(B488+B579)</f>
        <v>51061.2</v>
      </c>
      <c r="C580" s="279">
        <f t="shared" si="86"/>
        <v>104149.33</v>
      </c>
      <c r="D580" s="279">
        <f t="shared" si="86"/>
        <v>3500</v>
      </c>
      <c r="E580" s="279">
        <f t="shared" si="86"/>
        <v>0</v>
      </c>
      <c r="F580" s="279">
        <f t="shared" si="86"/>
        <v>0</v>
      </c>
      <c r="G580" s="279">
        <f t="shared" si="86"/>
        <v>2600</v>
      </c>
      <c r="H580" s="279">
        <f t="shared" si="86"/>
        <v>0</v>
      </c>
      <c r="I580" s="279">
        <f t="shared" si="86"/>
        <v>49458</v>
      </c>
      <c r="J580" s="279">
        <f t="shared" si="86"/>
        <v>320434.92000000004</v>
      </c>
      <c r="K580" s="279">
        <f t="shared" si="86"/>
        <v>15200</v>
      </c>
      <c r="L580" s="279">
        <f t="shared" si="86"/>
        <v>66867</v>
      </c>
      <c r="M580" s="279">
        <f t="shared" si="86"/>
        <v>41505</v>
      </c>
      <c r="N580" s="279">
        <f t="shared" si="86"/>
        <v>0</v>
      </c>
      <c r="O580" s="279">
        <f t="shared" si="86"/>
        <v>0</v>
      </c>
      <c r="P580" s="279">
        <f t="shared" si="86"/>
        <v>0</v>
      </c>
      <c r="Q580" s="279">
        <f t="shared" si="86"/>
        <v>53499</v>
      </c>
      <c r="R580" s="279">
        <f t="shared" si="86"/>
        <v>27285</v>
      </c>
      <c r="S580" s="279">
        <f t="shared" si="86"/>
        <v>0</v>
      </c>
      <c r="T580" s="279">
        <f t="shared" si="86"/>
        <v>39162</v>
      </c>
      <c r="U580" s="279">
        <f t="shared" si="86"/>
        <v>270000</v>
      </c>
      <c r="V580" s="279">
        <f t="shared" si="86"/>
        <v>0</v>
      </c>
      <c r="W580" s="279">
        <f t="shared" si="86"/>
        <v>24824</v>
      </c>
      <c r="X580" s="279">
        <f t="shared" si="86"/>
        <v>75836.25</v>
      </c>
      <c r="Y580" s="279">
        <f t="shared" si="86"/>
        <v>0</v>
      </c>
      <c r="Z580" s="279">
        <f t="shared" ref="Z580:AA580" si="87">SUM(Z488+Z579)</f>
        <v>0</v>
      </c>
      <c r="AA580" s="279">
        <f t="shared" si="87"/>
        <v>0</v>
      </c>
      <c r="AB580" s="279">
        <f t="shared" si="86"/>
        <v>83280.240000000005</v>
      </c>
      <c r="AC580" s="279">
        <f t="shared" si="86"/>
        <v>131660.71</v>
      </c>
      <c r="AD580" s="279">
        <f t="shared" si="86"/>
        <v>0</v>
      </c>
      <c r="AE580" s="280">
        <f t="shared" si="83"/>
        <v>1360322.6500000001</v>
      </c>
      <c r="AF580" s="308"/>
      <c r="AG580" s="195"/>
      <c r="AH580" s="195"/>
      <c r="AI580" s="195"/>
    </row>
    <row r="581" spans="1:35" ht="18.75" customHeight="1" x14ac:dyDescent="0.3">
      <c r="A581" s="287" t="s">
        <v>259</v>
      </c>
      <c r="B581" s="279">
        <f t="shared" ref="B581:AD581" si="88">SUM(B489-B579)</f>
        <v>515738.8</v>
      </c>
      <c r="C581" s="279">
        <f t="shared" si="88"/>
        <v>45850.669999999991</v>
      </c>
      <c r="D581" s="279">
        <f t="shared" si="88"/>
        <v>324500</v>
      </c>
      <c r="E581" s="279">
        <f t="shared" si="88"/>
        <v>0</v>
      </c>
      <c r="F581" s="279">
        <f t="shared" si="88"/>
        <v>0</v>
      </c>
      <c r="G581" s="279">
        <f t="shared" si="88"/>
        <v>-2600</v>
      </c>
      <c r="H581" s="279">
        <f t="shared" si="88"/>
        <v>0</v>
      </c>
      <c r="I581" s="279">
        <f t="shared" si="88"/>
        <v>198442</v>
      </c>
      <c r="J581" s="279">
        <f t="shared" si="88"/>
        <v>-320434.92000000004</v>
      </c>
      <c r="K581" s="279">
        <f t="shared" si="88"/>
        <v>-15200</v>
      </c>
      <c r="L581" s="279">
        <f t="shared" si="88"/>
        <v>183133</v>
      </c>
      <c r="M581" s="279">
        <f t="shared" si="88"/>
        <v>98495</v>
      </c>
      <c r="N581" s="279">
        <f t="shared" si="88"/>
        <v>0</v>
      </c>
      <c r="O581" s="279">
        <f t="shared" si="88"/>
        <v>0</v>
      </c>
      <c r="P581" s="279">
        <f t="shared" si="88"/>
        <v>0</v>
      </c>
      <c r="Q581" s="279">
        <f t="shared" si="88"/>
        <v>160501</v>
      </c>
      <c r="R581" s="279">
        <f t="shared" si="88"/>
        <v>361660</v>
      </c>
      <c r="S581" s="279">
        <f t="shared" si="88"/>
        <v>74900</v>
      </c>
      <c r="T581" s="279">
        <f t="shared" si="88"/>
        <v>1154497</v>
      </c>
      <c r="U581" s="279">
        <f t="shared" si="88"/>
        <v>1234800</v>
      </c>
      <c r="V581" s="279">
        <f t="shared" si="88"/>
        <v>189600</v>
      </c>
      <c r="W581" s="279">
        <f t="shared" si="88"/>
        <v>74472</v>
      </c>
      <c r="X581" s="279">
        <f t="shared" si="88"/>
        <v>84163.75</v>
      </c>
      <c r="Y581" s="279">
        <f t="shared" si="88"/>
        <v>8500000</v>
      </c>
      <c r="Z581" s="279">
        <f t="shared" ref="Z581:AA581" si="89">SUM(Z489-Z579)</f>
        <v>716400</v>
      </c>
      <c r="AA581" s="279">
        <f t="shared" si="89"/>
        <v>1113800</v>
      </c>
      <c r="AB581" s="279">
        <f t="shared" si="88"/>
        <v>91519.75999999998</v>
      </c>
      <c r="AC581" s="279">
        <f t="shared" si="88"/>
        <v>66339.290000000008</v>
      </c>
      <c r="AD581" s="279">
        <f t="shared" si="88"/>
        <v>0</v>
      </c>
      <c r="AE581" s="280">
        <f t="shared" si="83"/>
        <v>14850577.35</v>
      </c>
      <c r="AF581" s="308"/>
      <c r="AG581" s="195"/>
      <c r="AH581" s="195"/>
      <c r="AI581" s="195"/>
    </row>
  </sheetData>
  <autoFilter ref="A2:AE581" xr:uid="{00000000-0009-0000-0000-000012000000}"/>
  <mergeCells count="3">
    <mergeCell ref="AF422:AI422"/>
    <mergeCell ref="AF459:AI459"/>
    <mergeCell ref="AF491:AI491"/>
  </mergeCells>
  <conditionalFormatting sqref="A534:A539 A386:AD389 I427:AA427 I490:AA490 N520:AD578 AB487:AJ490 AB428:AE486 AB423:AJ427 L390:AD421 N422:AE422 L491:AD519 A1:AJ13 A15:AJ20 B38 E38:AJ38 B39:AJ39 B26:AJ37 B21:AE25 AG21:AJ25 A40:AJ385">
    <cfRule type="cellIs" dxfId="227" priority="13" stopIfTrue="1" operator="lessThan">
      <formula>0</formula>
    </cfRule>
  </conditionalFormatting>
  <conditionalFormatting sqref="A390:K533">
    <cfRule type="cellIs" dxfId="226" priority="11" stopIfTrue="1" operator="lessThan">
      <formula>0</formula>
    </cfRule>
  </conditionalFormatting>
  <conditionalFormatting sqref="AE126 AE231 L520:M533 B536:I537 B539:I577 M543:M544 L547:M578 J547:K1044 A577 A579:I1044">
    <cfRule type="cellIs" dxfId="225" priority="22" stopIfTrue="1" operator="lessThan">
      <formula>0</formula>
    </cfRule>
  </conditionalFormatting>
  <conditionalFormatting sqref="L422 AF428:AJ458 AJ459 AF460:AJ486 AJ491 L423:AA490">
    <cfRule type="cellIs" dxfId="224" priority="23" stopIfTrue="1" operator="lessThan">
      <formula>0</formula>
    </cfRule>
  </conditionalFormatting>
  <conditionalFormatting sqref="AF492:AJ578">
    <cfRule type="cellIs" dxfId="223" priority="12" stopIfTrue="1" operator="lessThan">
      <formula>0</formula>
    </cfRule>
  </conditionalFormatting>
  <conditionalFormatting sqref="AE491:AE578">
    <cfRule type="cellIs" dxfId="222" priority="10" stopIfTrue="1" operator="lessThan">
      <formula>0</formula>
    </cfRule>
  </conditionalFormatting>
  <conditionalFormatting sqref="AE386:AJ421 AJ422">
    <cfRule type="cellIs" dxfId="221" priority="25" stopIfTrue="1" operator="lessThan">
      <formula>0</formula>
    </cfRule>
  </conditionalFormatting>
  <conditionalFormatting sqref="AF242:AF243 N259:P259 AF259">
    <cfRule type="cellIs" dxfId="220" priority="26" stopIfTrue="1" operator="lessThan">
      <formula>0</formula>
    </cfRule>
  </conditionalFormatting>
  <conditionalFormatting sqref="A14:AJ14">
    <cfRule type="cellIs" dxfId="219" priority="6" stopIfTrue="1" operator="lessThan">
      <formula>0</formula>
    </cfRule>
  </conditionalFormatting>
  <conditionalFormatting sqref="U14">
    <cfRule type="cellIs" dxfId="218" priority="7" stopIfTrue="1" operator="lessThan">
      <formula>0</formula>
    </cfRule>
  </conditionalFormatting>
  <conditionalFormatting sqref="A21:A39">
    <cfRule type="cellIs" dxfId="217" priority="5" stopIfTrue="1" operator="lessThan">
      <formula>0</formula>
    </cfRule>
  </conditionalFormatting>
  <conditionalFormatting sqref="AF21">
    <cfRule type="cellIs" dxfId="216" priority="4" stopIfTrue="1" operator="lessThan">
      <formula>0</formula>
    </cfRule>
  </conditionalFormatting>
  <conditionalFormatting sqref="AF22">
    <cfRule type="cellIs" dxfId="215" priority="3" stopIfTrue="1" operator="lessThan">
      <formula>0</formula>
    </cfRule>
  </conditionalFormatting>
  <conditionalFormatting sqref="AF23">
    <cfRule type="cellIs" dxfId="214" priority="2" stopIfTrue="1" operator="lessThan">
      <formula>0</formula>
    </cfRule>
  </conditionalFormatting>
  <conditionalFormatting sqref="AF24:AF25">
    <cfRule type="cellIs" dxfId="213" priority="1" stopIfTrue="1" operator="lessThan">
      <formula>0</formula>
    </cfRule>
  </conditionalFormatting>
  <pageMargins left="0.7" right="0.7" top="0.75" bottom="0.75" header="0" footer="0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FF"/>
  </sheetPr>
  <dimension ref="A1:AF72"/>
  <sheetViews>
    <sheetView zoomScaleNormal="100" workbookViewId="0">
      <pane ySplit="5" topLeftCell="A30" activePane="bottomLeft" state="frozen"/>
      <selection activeCell="E13" sqref="E13"/>
      <selection pane="bottomLeft" activeCell="D46" sqref="D46"/>
    </sheetView>
  </sheetViews>
  <sheetFormatPr defaultColWidth="14.42578125" defaultRowHeight="15" customHeight="1" x14ac:dyDescent="0.3"/>
  <cols>
    <col min="1" max="1" width="27.85546875" style="137" customWidth="1"/>
    <col min="2" max="2" width="16.5703125" style="137" customWidth="1"/>
    <col min="3" max="3" width="18" style="137" customWidth="1"/>
    <col min="4" max="4" width="16.5703125" style="137" customWidth="1"/>
    <col min="5" max="6" width="15.7109375" style="137" customWidth="1"/>
    <col min="7" max="8" width="16.5703125" style="137" customWidth="1"/>
    <col min="9" max="10" width="15.7109375" style="137" customWidth="1"/>
    <col min="11" max="11" width="16.5703125" style="137" customWidth="1"/>
    <col min="12" max="12" width="17.85546875" style="137" customWidth="1"/>
    <col min="13" max="13" width="16.5703125" style="137" customWidth="1"/>
    <col min="14" max="14" width="17.85546875" style="137" customWidth="1"/>
    <col min="15" max="15" width="11.7109375" style="137" customWidth="1"/>
    <col min="16" max="16" width="2.5703125" style="137" customWidth="1"/>
    <col min="17" max="17" width="14.28515625" style="137" customWidth="1"/>
    <col min="18" max="18" width="18.7109375" style="137" customWidth="1"/>
    <col min="19" max="19" width="18.42578125" style="137" customWidth="1"/>
    <col min="20" max="20" width="17.85546875" style="137" customWidth="1"/>
    <col min="21" max="32" width="9" style="137" customWidth="1"/>
    <col min="33" max="16384" width="14.42578125" style="137"/>
  </cols>
  <sheetData>
    <row r="1" spans="1:32" ht="21" customHeight="1" x14ac:dyDescent="0.3">
      <c r="A1" s="1197" t="s">
        <v>1197</v>
      </c>
      <c r="B1" s="1198"/>
      <c r="C1" s="1198"/>
      <c r="D1" s="1198"/>
      <c r="E1" s="1198"/>
      <c r="F1" s="1198"/>
      <c r="G1" s="1198"/>
      <c r="H1" s="1198"/>
      <c r="I1" s="1198"/>
      <c r="J1" s="1198"/>
      <c r="K1" s="1198"/>
      <c r="L1" s="1198"/>
      <c r="M1" s="1198"/>
      <c r="N1" s="1198"/>
      <c r="O1" s="1198"/>
      <c r="Q1" s="562"/>
      <c r="R1" s="562"/>
      <c r="S1" s="136"/>
      <c r="T1" s="136"/>
    </row>
    <row r="2" spans="1:32" ht="21" customHeight="1" x14ac:dyDescent="0.3">
      <c r="A2" s="1202" t="str">
        <f>'สรุปเบิก ม.ค. 68'!A2:J2</f>
        <v>ณ วันที่ 31 มกราคม 2568</v>
      </c>
      <c r="B2" s="1203"/>
      <c r="C2" s="1203"/>
      <c r="D2" s="1203"/>
      <c r="E2" s="1203"/>
      <c r="F2" s="1203"/>
      <c r="G2" s="1203"/>
      <c r="H2" s="1203"/>
      <c r="I2" s="1203"/>
      <c r="J2" s="1203"/>
      <c r="K2" s="1203"/>
      <c r="L2" s="1203"/>
      <c r="M2" s="1203"/>
      <c r="N2" s="1203"/>
      <c r="O2" s="1203"/>
      <c r="Q2" s="562"/>
      <c r="R2" s="562" t="s">
        <v>53</v>
      </c>
      <c r="S2" s="136"/>
      <c r="T2" s="136"/>
    </row>
    <row r="3" spans="1:32" ht="21" customHeight="1" x14ac:dyDescent="0.3">
      <c r="A3" s="1204" t="s">
        <v>1</v>
      </c>
      <c r="B3" s="161" t="s">
        <v>2</v>
      </c>
      <c r="C3" s="161" t="s">
        <v>3</v>
      </c>
      <c r="D3" s="1207" t="s">
        <v>5</v>
      </c>
      <c r="E3" s="1195"/>
      <c r="F3" s="1196"/>
      <c r="G3" s="383" t="s">
        <v>54</v>
      </c>
      <c r="H3" s="1207" t="s">
        <v>55</v>
      </c>
      <c r="I3" s="1195"/>
      <c r="J3" s="1196"/>
      <c r="K3" s="1208" t="s">
        <v>6</v>
      </c>
      <c r="L3" s="1195"/>
      <c r="M3" s="1195"/>
      <c r="N3" s="1196"/>
      <c r="O3" s="161" t="s">
        <v>56</v>
      </c>
      <c r="P3" s="171"/>
      <c r="Q3" s="563"/>
      <c r="R3" s="563"/>
      <c r="S3" s="157"/>
      <c r="T3" s="157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</row>
    <row r="4" spans="1:32" ht="21" customHeight="1" x14ac:dyDescent="0.3">
      <c r="A4" s="1205"/>
      <c r="B4" s="163" t="s">
        <v>7</v>
      </c>
      <c r="C4" s="386" t="s">
        <v>8</v>
      </c>
      <c r="D4" s="564" t="s">
        <v>10</v>
      </c>
      <c r="E4" s="383" t="s">
        <v>11</v>
      </c>
      <c r="F4" s="383" t="s">
        <v>11</v>
      </c>
      <c r="G4" s="386" t="s">
        <v>1266</v>
      </c>
      <c r="H4" s="565" t="s">
        <v>10</v>
      </c>
      <c r="I4" s="161" t="s">
        <v>11</v>
      </c>
      <c r="J4" s="161" t="s">
        <v>11</v>
      </c>
      <c r="K4" s="566" t="s">
        <v>12</v>
      </c>
      <c r="L4" s="161" t="s">
        <v>13</v>
      </c>
      <c r="M4" s="567" t="s">
        <v>57</v>
      </c>
      <c r="N4" s="161" t="s">
        <v>13</v>
      </c>
      <c r="O4" s="163" t="s">
        <v>58</v>
      </c>
      <c r="P4" s="171"/>
      <c r="Q4" s="563" t="s">
        <v>59</v>
      </c>
      <c r="R4" s="563"/>
      <c r="S4" s="157"/>
      <c r="T4" s="157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</row>
    <row r="5" spans="1:32" ht="42" customHeight="1" x14ac:dyDescent="0.3">
      <c r="A5" s="1206"/>
      <c r="B5" s="168"/>
      <c r="C5" s="168"/>
      <c r="D5" s="568" t="s">
        <v>1484</v>
      </c>
      <c r="E5" s="167" t="s">
        <v>60</v>
      </c>
      <c r="F5" s="569" t="s">
        <v>15</v>
      </c>
      <c r="G5" s="569"/>
      <c r="H5" s="570" t="str">
        <f>D5</f>
        <v>ณ 31 ธ.ค. 67</v>
      </c>
      <c r="I5" s="167" t="s">
        <v>60</v>
      </c>
      <c r="J5" s="163" t="s">
        <v>15</v>
      </c>
      <c r="K5" s="571" t="s">
        <v>61</v>
      </c>
      <c r="L5" s="163" t="s">
        <v>15</v>
      </c>
      <c r="M5" s="572"/>
      <c r="N5" s="163" t="s">
        <v>15</v>
      </c>
      <c r="O5" s="167" t="s">
        <v>62</v>
      </c>
      <c r="P5" s="171"/>
      <c r="Q5" s="563"/>
      <c r="R5" s="563"/>
      <c r="S5" s="157"/>
      <c r="T5" s="157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</row>
    <row r="6" spans="1:32" ht="21" customHeight="1" x14ac:dyDescent="0.3">
      <c r="A6" s="172"/>
      <c r="B6" s="174" t="s">
        <v>17</v>
      </c>
      <c r="C6" s="174" t="s">
        <v>18</v>
      </c>
      <c r="D6" s="393" t="s">
        <v>19</v>
      </c>
      <c r="E6" s="176" t="s">
        <v>63</v>
      </c>
      <c r="F6" s="176" t="s">
        <v>64</v>
      </c>
      <c r="G6" s="174" t="s">
        <v>65</v>
      </c>
      <c r="H6" s="573" t="s">
        <v>66</v>
      </c>
      <c r="I6" s="176" t="s">
        <v>67</v>
      </c>
      <c r="J6" s="176" t="s">
        <v>68</v>
      </c>
      <c r="K6" s="574" t="s">
        <v>69</v>
      </c>
      <c r="L6" s="176" t="s">
        <v>70</v>
      </c>
      <c r="M6" s="573" t="s">
        <v>71</v>
      </c>
      <c r="N6" s="176" t="s">
        <v>72</v>
      </c>
      <c r="O6" s="176"/>
      <c r="P6" s="171"/>
      <c r="Q6" s="575"/>
      <c r="R6" s="575"/>
      <c r="S6" s="157"/>
      <c r="T6" s="157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</row>
    <row r="7" spans="1:32" ht="21" customHeight="1" x14ac:dyDescent="0.3">
      <c r="A7" s="576" t="s">
        <v>73</v>
      </c>
      <c r="B7" s="577">
        <f>SUM(B8+B12)</f>
        <v>164914400</v>
      </c>
      <c r="C7" s="577">
        <f>SUM(C8+C12)</f>
        <v>81234300</v>
      </c>
      <c r="D7" s="578">
        <f>SUM(D8+D12)</f>
        <v>60465341.379999995</v>
      </c>
      <c r="E7" s="577">
        <f t="shared" ref="E7:E17" si="0">SUM(D7/B7*100)</f>
        <v>36.664682635355064</v>
      </c>
      <c r="F7" s="577">
        <f t="shared" ref="F7:F17" si="1">SUM(D7/C7*100)</f>
        <v>74.433264495416338</v>
      </c>
      <c r="G7" s="577">
        <f>SUM(G8+G12)</f>
        <v>993584.62000000325</v>
      </c>
      <c r="H7" s="579">
        <f>SUM(H8+H12)</f>
        <v>61458926</v>
      </c>
      <c r="I7" s="577">
        <f t="shared" ref="I7:I17" si="2">SUM(H7/B7*100)</f>
        <v>37.267167694270483</v>
      </c>
      <c r="J7" s="577">
        <f t="shared" ref="J7:J17" si="3">SUM(H7/C7*100)</f>
        <v>75.656374216310113</v>
      </c>
      <c r="K7" s="578">
        <f>SUM(K8+K12)</f>
        <v>20768958.620000008</v>
      </c>
      <c r="L7" s="577">
        <f t="shared" ref="L7:L17" si="4">SUM(K7/C7*100)</f>
        <v>25.566735504583665</v>
      </c>
      <c r="M7" s="579">
        <f>SUM(M8+M12)</f>
        <v>19775374.000000004</v>
      </c>
      <c r="N7" s="577">
        <f t="shared" ref="N7:N17" si="5">SUM(M7/C7*100)</f>
        <v>24.343625783689898</v>
      </c>
      <c r="O7" s="577"/>
      <c r="P7" s="184"/>
      <c r="Q7" s="580" t="s">
        <v>74</v>
      </c>
      <c r="R7" s="580"/>
      <c r="S7" s="195"/>
      <c r="T7" s="195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</row>
    <row r="8" spans="1:32" ht="21" customHeight="1" x14ac:dyDescent="0.3">
      <c r="A8" s="581" t="s">
        <v>27</v>
      </c>
      <c r="B8" s="582">
        <f>SUM(B9:B11)</f>
        <v>155419800</v>
      </c>
      <c r="C8" s="582">
        <f>SUM(C9:C11)</f>
        <v>76487000</v>
      </c>
      <c r="D8" s="583">
        <f>SUM(D9:D11)</f>
        <v>55950527.409999996</v>
      </c>
      <c r="E8" s="582">
        <f t="shared" si="0"/>
        <v>35.999613569184874</v>
      </c>
      <c r="F8" s="582">
        <f t="shared" si="1"/>
        <v>73.150375109495727</v>
      </c>
      <c r="G8" s="582">
        <f>SUM(G9:G11)</f>
        <v>995064.52000000328</v>
      </c>
      <c r="H8" s="584">
        <f>SUM(H9:H11)</f>
        <v>56945591.93</v>
      </c>
      <c r="I8" s="582">
        <f t="shared" si="2"/>
        <v>36.639856652755952</v>
      </c>
      <c r="J8" s="582">
        <f t="shared" si="3"/>
        <v>74.451334122138405</v>
      </c>
      <c r="K8" s="583">
        <f>SUM(K9:K11)</f>
        <v>20536472.590000007</v>
      </c>
      <c r="L8" s="582">
        <f t="shared" si="4"/>
        <v>26.849624890504277</v>
      </c>
      <c r="M8" s="584">
        <f>SUM(M9:M11)</f>
        <v>19541408.070000004</v>
      </c>
      <c r="N8" s="582">
        <f t="shared" si="5"/>
        <v>25.548665877861605</v>
      </c>
      <c r="O8" s="582"/>
      <c r="P8" s="184"/>
      <c r="Q8" s="580"/>
      <c r="R8" s="580"/>
      <c r="S8" s="195"/>
      <c r="T8" s="195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</row>
    <row r="9" spans="1:32" ht="21" customHeight="1" x14ac:dyDescent="0.3">
      <c r="A9" s="179" t="s">
        <v>42</v>
      </c>
      <c r="B9" s="585">
        <f>SUM(B29+B57)</f>
        <v>140316500</v>
      </c>
      <c r="C9" s="585">
        <f>SUM(C29+C57)</f>
        <v>68935600</v>
      </c>
      <c r="D9" s="586">
        <f>SUM(D29+D57)</f>
        <v>49824679.459999993</v>
      </c>
      <c r="E9" s="587">
        <f t="shared" si="0"/>
        <v>35.508781547430267</v>
      </c>
      <c r="F9" s="587">
        <f t="shared" si="1"/>
        <v>72.277139039915511</v>
      </c>
      <c r="G9" s="585">
        <f>SUM(G29+G57)</f>
        <v>995064.52000000328</v>
      </c>
      <c r="H9" s="588">
        <f>SUM(H29+H57)</f>
        <v>50819743.979999997</v>
      </c>
      <c r="I9" s="587">
        <f t="shared" si="2"/>
        <v>36.217938717114521</v>
      </c>
      <c r="J9" s="587">
        <f t="shared" si="3"/>
        <v>73.720608771084898</v>
      </c>
      <c r="K9" s="589">
        <f>SUM(C9-D9)</f>
        <v>19110920.540000007</v>
      </c>
      <c r="L9" s="587">
        <f t="shared" si="4"/>
        <v>27.722860960084496</v>
      </c>
      <c r="M9" s="590">
        <f>SUM(C9-H9)</f>
        <v>18115856.020000003</v>
      </c>
      <c r="N9" s="587">
        <f t="shared" si="5"/>
        <v>26.279391228915106</v>
      </c>
      <c r="O9" s="591"/>
      <c r="Q9" s="562">
        <f>78370190.03+1824290</f>
        <v>80194480.030000001</v>
      </c>
      <c r="R9" s="580">
        <f>SUM(D9-Q9)</f>
        <v>-30369800.570000008</v>
      </c>
      <c r="S9" s="136"/>
      <c r="T9" s="136"/>
    </row>
    <row r="10" spans="1:32" ht="21" customHeight="1" x14ac:dyDescent="0.3">
      <c r="A10" s="179" t="s">
        <v>51</v>
      </c>
      <c r="B10" s="585">
        <f>SUM(B58)</f>
        <v>8275800</v>
      </c>
      <c r="C10" s="585">
        <f>SUM(C58)</f>
        <v>4137900</v>
      </c>
      <c r="D10" s="586">
        <f>SUM(D58)</f>
        <v>3893827.31</v>
      </c>
      <c r="E10" s="587">
        <f t="shared" si="0"/>
        <v>47.050766209913242</v>
      </c>
      <c r="F10" s="587">
        <f t="shared" si="1"/>
        <v>94.101532419826484</v>
      </c>
      <c r="G10" s="585">
        <f>SUM(G58)</f>
        <v>0</v>
      </c>
      <c r="H10" s="588">
        <f>SUM(H58)</f>
        <v>3893827.31</v>
      </c>
      <c r="I10" s="587">
        <f t="shared" si="2"/>
        <v>47.050766209913242</v>
      </c>
      <c r="J10" s="587">
        <f t="shared" si="3"/>
        <v>94.101532419826484</v>
      </c>
      <c r="K10" s="589">
        <f>SUM(C10-D10)</f>
        <v>244072.68999999994</v>
      </c>
      <c r="L10" s="587">
        <f t="shared" si="4"/>
        <v>5.8984675801735165</v>
      </c>
      <c r="M10" s="590">
        <f>SUM(C10-H10)</f>
        <v>244072.68999999994</v>
      </c>
      <c r="N10" s="587">
        <f t="shared" si="5"/>
        <v>5.8984675801735165</v>
      </c>
      <c r="O10" s="591"/>
      <c r="Q10" s="562">
        <v>4053831.08</v>
      </c>
      <c r="R10" s="580">
        <f>SUM(D10-Q10)</f>
        <v>-160003.77000000002</v>
      </c>
      <c r="S10" s="136"/>
      <c r="T10" s="136"/>
    </row>
    <row r="11" spans="1:32" ht="21" customHeight="1" x14ac:dyDescent="0.3">
      <c r="A11" s="179" t="s">
        <v>43</v>
      </c>
      <c r="B11" s="585">
        <f>SUM(B30)</f>
        <v>6827500</v>
      </c>
      <c r="C11" s="585">
        <f>SUM(C30)</f>
        <v>3413500</v>
      </c>
      <c r="D11" s="586">
        <f>SUM(D30)</f>
        <v>2232020.64</v>
      </c>
      <c r="E11" s="587">
        <f t="shared" si="0"/>
        <v>32.691624166971806</v>
      </c>
      <c r="F11" s="587">
        <f t="shared" si="1"/>
        <v>65.388036912260148</v>
      </c>
      <c r="G11" s="585">
        <f>SUM(G30)</f>
        <v>0</v>
      </c>
      <c r="H11" s="588">
        <f>SUM(H30)</f>
        <v>2232020.64</v>
      </c>
      <c r="I11" s="587">
        <f t="shared" si="2"/>
        <v>32.691624166971806</v>
      </c>
      <c r="J11" s="587">
        <f t="shared" si="3"/>
        <v>65.388036912260148</v>
      </c>
      <c r="K11" s="589">
        <f>SUM(C11-D11)</f>
        <v>1181479.3599999999</v>
      </c>
      <c r="L11" s="587">
        <f t="shared" si="4"/>
        <v>34.611963087739852</v>
      </c>
      <c r="M11" s="590">
        <f>SUM(C11-H11)</f>
        <v>1181479.3599999999</v>
      </c>
      <c r="N11" s="587">
        <f t="shared" si="5"/>
        <v>34.611963087739852</v>
      </c>
      <c r="O11" s="591"/>
      <c r="Q11" s="562">
        <v>3779250</v>
      </c>
      <c r="R11" s="580">
        <f>SUM(D11-Q11)</f>
        <v>-1547229.3599999999</v>
      </c>
      <c r="S11" s="136"/>
      <c r="T11" s="136"/>
    </row>
    <row r="12" spans="1:32" ht="21" customHeight="1" x14ac:dyDescent="0.3">
      <c r="A12" s="592" t="s">
        <v>28</v>
      </c>
      <c r="B12" s="582">
        <f>SUM(B13)</f>
        <v>9494600</v>
      </c>
      <c r="C12" s="582">
        <f>SUM(C13)</f>
        <v>4747300</v>
      </c>
      <c r="D12" s="583">
        <f>SUM(D13)</f>
        <v>4514813.97</v>
      </c>
      <c r="E12" s="582">
        <f t="shared" si="0"/>
        <v>47.55138678827965</v>
      </c>
      <c r="F12" s="582">
        <f t="shared" si="1"/>
        <v>95.102773576559301</v>
      </c>
      <c r="G12" s="582">
        <f>SUM(G13)</f>
        <v>-1479.8999999999942</v>
      </c>
      <c r="H12" s="584">
        <f>SUM(H13)</f>
        <v>4513334.07</v>
      </c>
      <c r="I12" s="582">
        <f t="shared" si="2"/>
        <v>47.535800033703374</v>
      </c>
      <c r="J12" s="582">
        <f t="shared" si="3"/>
        <v>95.071600067406749</v>
      </c>
      <c r="K12" s="583">
        <f>SUM(K13)</f>
        <v>232486.03000000026</v>
      </c>
      <c r="L12" s="582">
        <f t="shared" si="4"/>
        <v>4.8972264234406984</v>
      </c>
      <c r="M12" s="584">
        <f>SUM(M13)</f>
        <v>233965.9299999997</v>
      </c>
      <c r="N12" s="582">
        <f t="shared" si="5"/>
        <v>4.9283999325932575</v>
      </c>
      <c r="O12" s="593"/>
      <c r="P12" s="184" t="s">
        <v>75</v>
      </c>
      <c r="Q12" s="580"/>
      <c r="R12" s="580"/>
      <c r="S12" s="195"/>
      <c r="T12" s="195"/>
      <c r="U12" s="184"/>
      <c r="V12" s="184"/>
      <c r="W12" s="184"/>
      <c r="X12" s="184"/>
      <c r="Y12" s="184"/>
      <c r="Z12" s="184"/>
      <c r="AA12" s="184"/>
      <c r="AB12" s="184"/>
      <c r="AC12" s="184"/>
      <c r="AE12" s="184"/>
      <c r="AF12" s="184"/>
    </row>
    <row r="13" spans="1:32" ht="21" customHeight="1" x14ac:dyDescent="0.3">
      <c r="A13" s="179" t="s">
        <v>44</v>
      </c>
      <c r="B13" s="585">
        <f>SUM(B32+B60)</f>
        <v>9494600</v>
      </c>
      <c r="C13" s="585">
        <f>SUM(C32+C60)</f>
        <v>4747300</v>
      </c>
      <c r="D13" s="586">
        <f>SUM(D32+D60)</f>
        <v>4514813.97</v>
      </c>
      <c r="E13" s="587">
        <f t="shared" si="0"/>
        <v>47.55138678827965</v>
      </c>
      <c r="F13" s="587">
        <f t="shared" si="1"/>
        <v>95.102773576559301</v>
      </c>
      <c r="G13" s="585">
        <f>SUM(G32+G60)</f>
        <v>-1479.8999999999942</v>
      </c>
      <c r="H13" s="588">
        <f>SUM(H32+H60)</f>
        <v>4513334.07</v>
      </c>
      <c r="I13" s="587">
        <f t="shared" si="2"/>
        <v>47.535800033703374</v>
      </c>
      <c r="J13" s="587">
        <f t="shared" si="3"/>
        <v>95.071600067406749</v>
      </c>
      <c r="K13" s="589">
        <f>SUM(C13-D13)</f>
        <v>232486.03000000026</v>
      </c>
      <c r="L13" s="587">
        <f t="shared" si="4"/>
        <v>4.8972264234406984</v>
      </c>
      <c r="M13" s="590">
        <f>SUM(C13-H13)</f>
        <v>233965.9299999997</v>
      </c>
      <c r="N13" s="587">
        <f t="shared" si="5"/>
        <v>4.9283999325932575</v>
      </c>
      <c r="O13" s="591"/>
      <c r="Q13" s="562">
        <f>4717237.15+134441</f>
        <v>4851678.1500000004</v>
      </c>
      <c r="R13" s="580">
        <f>SUM(D13-Q13)</f>
        <v>-336864.18000000063</v>
      </c>
      <c r="S13" s="136"/>
      <c r="T13" s="136"/>
      <c r="X13" s="594"/>
    </row>
    <row r="14" spans="1:32" ht="21" customHeight="1" x14ac:dyDescent="0.3">
      <c r="A14" s="595" t="s">
        <v>29</v>
      </c>
      <c r="B14" s="596">
        <f>SUM(B15+B18+B20)</f>
        <v>338289300</v>
      </c>
      <c r="C14" s="596">
        <f>SUM(C15+C18+C20)</f>
        <v>291408400</v>
      </c>
      <c r="D14" s="597">
        <f>SUM(D15+D18+D20)</f>
        <v>137156959.03999999</v>
      </c>
      <c r="E14" s="596">
        <f t="shared" si="0"/>
        <v>40.544279420011215</v>
      </c>
      <c r="F14" s="596">
        <f t="shared" si="1"/>
        <v>47.066920184867698</v>
      </c>
      <c r="G14" s="596">
        <f>SUM(G15+G18+G20)</f>
        <v>7867406.3199999984</v>
      </c>
      <c r="H14" s="598">
        <f>SUM(H15+H18+H20)</f>
        <v>145024365.35999998</v>
      </c>
      <c r="I14" s="596">
        <f t="shared" si="2"/>
        <v>42.869923866938734</v>
      </c>
      <c r="J14" s="596">
        <f t="shared" si="3"/>
        <v>49.766707260326051</v>
      </c>
      <c r="K14" s="597">
        <f>SUM(K15+K18+K20)</f>
        <v>154251440.96000001</v>
      </c>
      <c r="L14" s="596">
        <f t="shared" si="4"/>
        <v>52.933079815132302</v>
      </c>
      <c r="M14" s="598">
        <f>SUM(M15+M18+M20)</f>
        <v>146384034.63999999</v>
      </c>
      <c r="N14" s="596">
        <f t="shared" si="5"/>
        <v>50.233292739673942</v>
      </c>
      <c r="O14" s="599"/>
      <c r="P14" s="136"/>
      <c r="Q14" s="580"/>
      <c r="R14" s="580"/>
      <c r="S14" s="195"/>
      <c r="T14" s="195"/>
      <c r="U14" s="184"/>
      <c r="V14" s="184"/>
      <c r="W14" s="184"/>
      <c r="X14" s="184"/>
      <c r="Y14" s="184"/>
      <c r="Z14" s="184"/>
      <c r="AA14" s="184"/>
      <c r="AB14" s="184"/>
      <c r="AC14" s="184"/>
      <c r="AE14" s="184"/>
      <c r="AF14" s="184"/>
    </row>
    <row r="15" spans="1:32" ht="21" customHeight="1" x14ac:dyDescent="0.3">
      <c r="A15" s="592" t="s">
        <v>28</v>
      </c>
      <c r="B15" s="582">
        <f>SUM(B16:B17)</f>
        <v>43026100</v>
      </c>
      <c r="C15" s="582">
        <f>SUM(C16:C17)</f>
        <v>32975500</v>
      </c>
      <c r="D15" s="583">
        <f>SUM(D16:D17)</f>
        <v>8542043.8200000003</v>
      </c>
      <c r="E15" s="582">
        <f t="shared" si="0"/>
        <v>19.853167774908719</v>
      </c>
      <c r="F15" s="582">
        <f t="shared" si="1"/>
        <v>25.904213188579401</v>
      </c>
      <c r="G15" s="582">
        <f>SUM(G16:G17)</f>
        <v>6797294.5699999984</v>
      </c>
      <c r="H15" s="584">
        <f>SUM(H16:H17)</f>
        <v>15339338.389999999</v>
      </c>
      <c r="I15" s="582">
        <f t="shared" si="2"/>
        <v>35.651240502857569</v>
      </c>
      <c r="J15" s="582">
        <f t="shared" si="3"/>
        <v>46.517379236099529</v>
      </c>
      <c r="K15" s="583">
        <f>SUM(K16:K17)</f>
        <v>24433456.18</v>
      </c>
      <c r="L15" s="582">
        <f t="shared" si="4"/>
        <v>74.095786811420595</v>
      </c>
      <c r="M15" s="584">
        <f>SUM(M16:M17)</f>
        <v>17636161.609999999</v>
      </c>
      <c r="N15" s="582">
        <f t="shared" si="5"/>
        <v>53.482620763900471</v>
      </c>
      <c r="O15" s="593"/>
      <c r="P15" s="195"/>
      <c r="Q15" s="580"/>
      <c r="R15" s="580"/>
      <c r="S15" s="195"/>
      <c r="T15" s="195"/>
      <c r="U15" s="184"/>
      <c r="V15" s="184"/>
      <c r="W15" s="184"/>
      <c r="X15" s="184"/>
      <c r="Y15" s="184"/>
      <c r="Z15" s="184"/>
      <c r="AA15" s="184"/>
      <c r="AB15" s="184"/>
      <c r="AC15" s="184"/>
      <c r="AE15" s="184"/>
      <c r="AF15" s="184"/>
    </row>
    <row r="16" spans="1:32" ht="21" customHeight="1" x14ac:dyDescent="0.3">
      <c r="A16" s="179" t="s">
        <v>44</v>
      </c>
      <c r="B16" s="585">
        <f t="shared" ref="B16:D17" si="6">SUM(B35+B63)</f>
        <v>31310400</v>
      </c>
      <c r="C16" s="585">
        <f t="shared" si="6"/>
        <v>25067900</v>
      </c>
      <c r="D16" s="586">
        <f t="shared" si="6"/>
        <v>5473055.8399999999</v>
      </c>
      <c r="E16" s="587">
        <f t="shared" si="0"/>
        <v>17.479993356839898</v>
      </c>
      <c r="F16" s="587">
        <f t="shared" si="1"/>
        <v>21.832925135332438</v>
      </c>
      <c r="G16" s="585">
        <f>SUM(G35+G63)</f>
        <v>4716622.92</v>
      </c>
      <c r="H16" s="588">
        <f>SUM(H35+H63)</f>
        <v>10189678.76</v>
      </c>
      <c r="I16" s="587">
        <f t="shared" si="2"/>
        <v>32.544070851857533</v>
      </c>
      <c r="J16" s="587">
        <f t="shared" si="3"/>
        <v>40.648314218582335</v>
      </c>
      <c r="K16" s="589">
        <f>SUM(C16-D16)</f>
        <v>19594844.16</v>
      </c>
      <c r="L16" s="587">
        <f t="shared" si="4"/>
        <v>78.167074864667569</v>
      </c>
      <c r="M16" s="590">
        <f>SUM(C16-H16)</f>
        <v>14878221.24</v>
      </c>
      <c r="N16" s="587">
        <f t="shared" si="5"/>
        <v>59.351685781417672</v>
      </c>
      <c r="O16" s="591"/>
      <c r="P16" s="136"/>
      <c r="Q16" s="562">
        <f>2384429.52+7693894.53+1379995.05</f>
        <v>11458319.100000001</v>
      </c>
      <c r="R16" s="580">
        <f>SUM(D16-Q16)</f>
        <v>-5985263.2600000016</v>
      </c>
      <c r="S16" s="136"/>
      <c r="T16" s="136"/>
    </row>
    <row r="17" spans="1:18" ht="21" customHeight="1" x14ac:dyDescent="0.3">
      <c r="A17" s="179" t="s">
        <v>45</v>
      </c>
      <c r="B17" s="585">
        <f t="shared" si="6"/>
        <v>11715700</v>
      </c>
      <c r="C17" s="585">
        <f t="shared" si="6"/>
        <v>7907600</v>
      </c>
      <c r="D17" s="586">
        <f t="shared" si="6"/>
        <v>3068987.9800000004</v>
      </c>
      <c r="E17" s="587">
        <f t="shared" si="0"/>
        <v>26.195515248768753</v>
      </c>
      <c r="F17" s="587">
        <f t="shared" si="1"/>
        <v>38.810612322322832</v>
      </c>
      <c r="G17" s="585">
        <f>SUM(G36+G64)</f>
        <v>2080671.649999999</v>
      </c>
      <c r="H17" s="588">
        <f>SUM(H36+H64)</f>
        <v>5149659.629999999</v>
      </c>
      <c r="I17" s="587">
        <f t="shared" si="2"/>
        <v>43.955202249972253</v>
      </c>
      <c r="J17" s="587">
        <f t="shared" si="3"/>
        <v>65.122915043755356</v>
      </c>
      <c r="K17" s="589">
        <f>SUM(C17-D17)</f>
        <v>4838612.0199999996</v>
      </c>
      <c r="L17" s="587">
        <f t="shared" si="4"/>
        <v>61.189387677677168</v>
      </c>
      <c r="M17" s="590">
        <f>SUM(C17-H17)</f>
        <v>2757940.370000001</v>
      </c>
      <c r="N17" s="587">
        <f t="shared" si="5"/>
        <v>34.877084956244637</v>
      </c>
      <c r="O17" s="591"/>
      <c r="P17" s="136"/>
      <c r="Q17" s="562">
        <v>6134529.1799999997</v>
      </c>
      <c r="R17" s="580">
        <f>SUM(D17-Q17)</f>
        <v>-3065541.1999999993</v>
      </c>
    </row>
    <row r="18" spans="1:18" ht="21" customHeight="1" x14ac:dyDescent="0.3">
      <c r="A18" s="592" t="s">
        <v>30</v>
      </c>
      <c r="B18" s="582">
        <f>SUM(B19)</f>
        <v>125549100</v>
      </c>
      <c r="C18" s="582">
        <f>SUM(C19)</f>
        <v>98524800</v>
      </c>
      <c r="D18" s="583">
        <f>SUM(D19)</f>
        <v>0</v>
      </c>
      <c r="E18" s="582">
        <f>SUM(E19)</f>
        <v>0</v>
      </c>
      <c r="F18" s="582">
        <v>0</v>
      </c>
      <c r="G18" s="582">
        <f>SUM(G19)</f>
        <v>0</v>
      </c>
      <c r="H18" s="584">
        <f>SUM(H19)</f>
        <v>0</v>
      </c>
      <c r="I18" s="582">
        <f>SUM(I19)</f>
        <v>0</v>
      </c>
      <c r="J18" s="582">
        <v>0</v>
      </c>
      <c r="K18" s="583">
        <f>SUM(K19)</f>
        <v>98524800</v>
      </c>
      <c r="L18" s="582">
        <v>0</v>
      </c>
      <c r="M18" s="584">
        <f>SUM(M19)</f>
        <v>98524800</v>
      </c>
      <c r="N18" s="582">
        <v>0</v>
      </c>
      <c r="O18" s="593"/>
      <c r="P18" s="184"/>
      <c r="Q18" s="580"/>
      <c r="R18" s="580"/>
    </row>
    <row r="19" spans="1:18" ht="21" customHeight="1" x14ac:dyDescent="0.3">
      <c r="A19" s="179" t="s">
        <v>46</v>
      </c>
      <c r="B19" s="585">
        <f>SUM(B38+B66)</f>
        <v>125549100</v>
      </c>
      <c r="C19" s="585">
        <f>SUM(C38+C66)</f>
        <v>98524800</v>
      </c>
      <c r="D19" s="586">
        <f>SUM(D38+D66)</f>
        <v>0</v>
      </c>
      <c r="E19" s="587">
        <v>0</v>
      </c>
      <c r="F19" s="587">
        <v>0</v>
      </c>
      <c r="G19" s="585">
        <f>SUM(G38+G66)</f>
        <v>0</v>
      </c>
      <c r="H19" s="588">
        <f>SUM(H38+H66)</f>
        <v>0</v>
      </c>
      <c r="I19" s="587">
        <v>0</v>
      </c>
      <c r="J19" s="587">
        <v>0</v>
      </c>
      <c r="K19" s="589">
        <f>SUM(C19-D19)</f>
        <v>98524800</v>
      </c>
      <c r="L19" s="587">
        <v>0</v>
      </c>
      <c r="M19" s="590">
        <f>SUM(C19-H19)</f>
        <v>98524800</v>
      </c>
      <c r="N19" s="587">
        <v>0</v>
      </c>
      <c r="O19" s="591"/>
      <c r="Q19" s="562">
        <v>0</v>
      </c>
      <c r="R19" s="580">
        <f>SUM(D19-Q19)</f>
        <v>0</v>
      </c>
    </row>
    <row r="20" spans="1:18" ht="21" customHeight="1" x14ac:dyDescent="0.3">
      <c r="A20" s="592" t="s">
        <v>47</v>
      </c>
      <c r="B20" s="582">
        <f>SUM(B21:B22)</f>
        <v>169714100</v>
      </c>
      <c r="C20" s="582">
        <f>SUM(C21:C22)</f>
        <v>159908100</v>
      </c>
      <c r="D20" s="583">
        <f>SUM(D21:D22)</f>
        <v>128614915.22</v>
      </c>
      <c r="E20" s="582">
        <f>SUM(D20/B20*100)</f>
        <v>75.783282131537689</v>
      </c>
      <c r="F20" s="582">
        <f>SUM(D20/C20*100)</f>
        <v>80.43051929201836</v>
      </c>
      <c r="G20" s="582">
        <f>SUM(G21:G22)</f>
        <v>1070111.75</v>
      </c>
      <c r="H20" s="584">
        <f>SUM(H21:H22)</f>
        <v>129685026.97</v>
      </c>
      <c r="I20" s="582">
        <f>SUM(H20/B20*100)</f>
        <v>76.413820047951234</v>
      </c>
      <c r="J20" s="582">
        <f>SUM(H20/C20*100)</f>
        <v>81.099723509941029</v>
      </c>
      <c r="K20" s="583">
        <f>SUM(K21:K22)</f>
        <v>31293184.780000001</v>
      </c>
      <c r="L20" s="582">
        <f>SUM(K20/C20*100)</f>
        <v>19.569480707981647</v>
      </c>
      <c r="M20" s="584">
        <f>SUM(M21:M22)</f>
        <v>30223073.030000001</v>
      </c>
      <c r="N20" s="582">
        <f>SUM(M20/C20*100)</f>
        <v>18.900276490058978</v>
      </c>
      <c r="O20" s="593"/>
      <c r="P20" s="184"/>
      <c r="Q20" s="580"/>
      <c r="R20" s="580"/>
    </row>
    <row r="21" spans="1:18" ht="21" customHeight="1" x14ac:dyDescent="0.3">
      <c r="A21" s="179" t="s">
        <v>48</v>
      </c>
      <c r="B21" s="585">
        <f>SUM(B40+B67)</f>
        <v>22368200</v>
      </c>
      <c r="C21" s="585">
        <f>SUM(C40+C67)</f>
        <v>32337100</v>
      </c>
      <c r="D21" s="586">
        <f>SUM(D40+D67)</f>
        <v>1077257.2199999997</v>
      </c>
      <c r="E21" s="587">
        <v>0</v>
      </c>
      <c r="F21" s="587">
        <v>0</v>
      </c>
      <c r="G21" s="585">
        <f>SUM(G40+G67)</f>
        <v>1105769.75</v>
      </c>
      <c r="H21" s="588">
        <f>SUM(H40+H67)</f>
        <v>2183026.9699999997</v>
      </c>
      <c r="I21" s="587">
        <v>0</v>
      </c>
      <c r="J21" s="587">
        <v>0</v>
      </c>
      <c r="K21" s="589">
        <f>SUM(C21-D21)</f>
        <v>31259842.780000001</v>
      </c>
      <c r="L21" s="587">
        <v>0</v>
      </c>
      <c r="M21" s="590">
        <f>SUM(C21-H21)</f>
        <v>30154073.030000001</v>
      </c>
      <c r="N21" s="587">
        <v>0</v>
      </c>
      <c r="O21" s="591"/>
      <c r="P21" s="137" t="s">
        <v>59</v>
      </c>
      <c r="Q21" s="562">
        <v>0</v>
      </c>
      <c r="R21" s="580">
        <f>SUM(D21-Q21)</f>
        <v>1077257.2199999997</v>
      </c>
    </row>
    <row r="22" spans="1:18" ht="21" customHeight="1" x14ac:dyDescent="0.3">
      <c r="A22" s="179" t="s">
        <v>76</v>
      </c>
      <c r="B22" s="585">
        <f>SUM(B41)</f>
        <v>147345900</v>
      </c>
      <c r="C22" s="585">
        <f>SUM(C41)</f>
        <v>127571000</v>
      </c>
      <c r="D22" s="586">
        <f>SUM(D41)</f>
        <v>127537658</v>
      </c>
      <c r="E22" s="587">
        <f>SUM(D22/B22*100)</f>
        <v>86.556638494861417</v>
      </c>
      <c r="F22" s="587">
        <f>SUM(D22/C22*100)</f>
        <v>99.973863965948368</v>
      </c>
      <c r="G22" s="585">
        <f>SUM(G41)</f>
        <v>-35658</v>
      </c>
      <c r="H22" s="588">
        <f>SUM(H41)</f>
        <v>127502000</v>
      </c>
      <c r="I22" s="587">
        <f>SUM(H22/B22*100)</f>
        <v>86.532438296552542</v>
      </c>
      <c r="J22" s="587">
        <f>SUM(H22/C22*100)</f>
        <v>99.945912472270351</v>
      </c>
      <c r="K22" s="589">
        <f>SUM(C22-D22)</f>
        <v>33342</v>
      </c>
      <c r="L22" s="587">
        <f>SUM(K22/C22*100)</f>
        <v>2.6136034051626154E-2</v>
      </c>
      <c r="M22" s="590">
        <f>SUM(C22-H22)</f>
        <v>69000</v>
      </c>
      <c r="N22" s="587">
        <f>SUM(M22/C22*100)</f>
        <v>5.4087527729656429E-2</v>
      </c>
      <c r="O22" s="591"/>
      <c r="Q22" s="562">
        <f>18300000+4901000+17804830+106340000</f>
        <v>147345830</v>
      </c>
      <c r="R22" s="580">
        <f>SUM(D22-Q22)</f>
        <v>-19808172</v>
      </c>
    </row>
    <row r="23" spans="1:18" ht="21" customHeight="1" x14ac:dyDescent="0.3">
      <c r="A23" s="179"/>
      <c r="B23" s="587"/>
      <c r="C23" s="587"/>
      <c r="D23" s="600"/>
      <c r="E23" s="587"/>
      <c r="F23" s="587"/>
      <c r="G23" s="587"/>
      <c r="H23" s="601"/>
      <c r="I23" s="587"/>
      <c r="J23" s="587"/>
      <c r="K23" s="600"/>
      <c r="L23" s="587"/>
      <c r="M23" s="601"/>
      <c r="N23" s="587"/>
      <c r="O23" s="591"/>
      <c r="Q23" s="562"/>
      <c r="R23" s="580"/>
    </row>
    <row r="24" spans="1:18" ht="21" customHeight="1" x14ac:dyDescent="0.3">
      <c r="A24" s="216" t="s">
        <v>33</v>
      </c>
      <c r="B24" s="242">
        <f>SUM(B7+B14)</f>
        <v>503203700</v>
      </c>
      <c r="C24" s="242">
        <f>SUM(C7+C14)</f>
        <v>372642700</v>
      </c>
      <c r="D24" s="602">
        <f>SUM(D7+D14)</f>
        <v>197622300.41999999</v>
      </c>
      <c r="E24" s="242">
        <f>SUM(D24/B24*100)</f>
        <v>39.272823395376463</v>
      </c>
      <c r="F24" s="242">
        <f>SUM(D24/C24*100)</f>
        <v>53.032650423582695</v>
      </c>
      <c r="G24" s="242">
        <f>SUM(G7+G14)</f>
        <v>8860990.9400000013</v>
      </c>
      <c r="H24" s="603">
        <f>SUM(H7+H14)</f>
        <v>206483291.35999998</v>
      </c>
      <c r="I24" s="242">
        <f>SUM(H24/B24*100)</f>
        <v>41.033738694687656</v>
      </c>
      <c r="J24" s="242">
        <f>SUM(H24/C24*100)</f>
        <v>55.410529002714924</v>
      </c>
      <c r="K24" s="602">
        <f>SUM(K7+K14)</f>
        <v>175020399.58000001</v>
      </c>
      <c r="L24" s="242">
        <f>SUM(K24/C24*100)</f>
        <v>46.967349576417305</v>
      </c>
      <c r="M24" s="603">
        <f>SUM(M7+M14)</f>
        <v>166159408.63999999</v>
      </c>
      <c r="N24" s="242">
        <f>SUM(M24/C24*100)</f>
        <v>44.589470997285062</v>
      </c>
      <c r="O24" s="604"/>
      <c r="Q24" s="562"/>
      <c r="R24" s="562"/>
    </row>
    <row r="25" spans="1:18" ht="21" customHeight="1" x14ac:dyDescent="0.3">
      <c r="A25" s="605" t="s">
        <v>33</v>
      </c>
      <c r="B25" s="606"/>
      <c r="C25" s="607">
        <f>+C24/B24</f>
        <v>0.74054046104986904</v>
      </c>
      <c r="D25" s="608"/>
      <c r="E25" s="607">
        <f>SUM(D24/B24)</f>
        <v>0.3927282339537646</v>
      </c>
      <c r="F25" s="607">
        <f>SUM(D24/C24)</f>
        <v>0.53032650423582695</v>
      </c>
      <c r="G25" s="606"/>
      <c r="H25" s="609"/>
      <c r="I25" s="607">
        <f>SUM(H24/B24)</f>
        <v>0.41033738694687655</v>
      </c>
      <c r="J25" s="607">
        <f>SUM(H24/C24)</f>
        <v>0.55410529002714926</v>
      </c>
      <c r="K25" s="608"/>
      <c r="L25" s="607">
        <f>SUM(K24/C24)</f>
        <v>0.46967349576417305</v>
      </c>
      <c r="M25" s="609"/>
      <c r="N25" s="607">
        <f>SUM(M24/C24)</f>
        <v>0.44589470997285063</v>
      </c>
      <c r="O25" s="606"/>
      <c r="Q25" s="562"/>
      <c r="R25" s="562"/>
    </row>
    <row r="26" spans="1:18" ht="21" customHeight="1" x14ac:dyDescent="0.3">
      <c r="A26" s="459" t="s">
        <v>40</v>
      </c>
      <c r="B26" s="207"/>
      <c r="C26" s="207"/>
      <c r="D26" s="610"/>
      <c r="E26" s="207"/>
      <c r="F26" s="207"/>
      <c r="G26" s="207"/>
      <c r="H26" s="611"/>
      <c r="I26" s="207"/>
      <c r="J26" s="207"/>
      <c r="K26" s="610"/>
      <c r="L26" s="207"/>
      <c r="M26" s="611"/>
      <c r="N26" s="207"/>
      <c r="O26" s="207"/>
      <c r="Q26" s="562"/>
      <c r="R26" s="562"/>
    </row>
    <row r="27" spans="1:18" ht="21" customHeight="1" x14ac:dyDescent="0.3">
      <c r="A27" s="6" t="s">
        <v>41</v>
      </c>
      <c r="B27" s="207"/>
      <c r="C27" s="207"/>
      <c r="D27" s="610"/>
      <c r="E27" s="207"/>
      <c r="F27" s="207"/>
      <c r="G27" s="207"/>
      <c r="H27" s="611"/>
      <c r="I27" s="207"/>
      <c r="J27" s="207"/>
      <c r="K27" s="612"/>
      <c r="L27" s="209"/>
      <c r="M27" s="613"/>
      <c r="N27" s="209"/>
      <c r="O27" s="207"/>
      <c r="Q27" s="562"/>
      <c r="R27" s="562"/>
    </row>
    <row r="28" spans="1:18" ht="21" customHeight="1" x14ac:dyDescent="0.3">
      <c r="A28" s="210" t="s">
        <v>27</v>
      </c>
      <c r="B28" s="211">
        <f>SUM(B29:B30)</f>
        <v>144834840</v>
      </c>
      <c r="C28" s="211">
        <f>SUM(C29:C30)</f>
        <v>67613920</v>
      </c>
      <c r="D28" s="614">
        <f>SUM(D29:D30)</f>
        <v>47873463.449999996</v>
      </c>
      <c r="E28" s="211">
        <f t="shared" ref="E28:E36" si="7">SUM(D28/B28*100)</f>
        <v>33.053831143114458</v>
      </c>
      <c r="F28" s="211">
        <f t="shared" ref="F28:F36" si="8">SUM(D28/C28*100)</f>
        <v>70.804153124090419</v>
      </c>
      <c r="G28" s="211">
        <f>SUM(G29:G30)</f>
        <v>995064.52000000328</v>
      </c>
      <c r="H28" s="615">
        <f>SUM(H29:H30)</f>
        <v>48868527.969999999</v>
      </c>
      <c r="I28" s="211">
        <f t="shared" ref="I28:I36" si="9">SUM(H28/B28*100)</f>
        <v>33.740865091576033</v>
      </c>
      <c r="J28" s="211">
        <f t="shared" ref="J28:J36" si="10">SUM(H28/C28*100)</f>
        <v>72.275839013623226</v>
      </c>
      <c r="K28" s="614">
        <f>SUM(K29:K30)</f>
        <v>19740456.550000004</v>
      </c>
      <c r="L28" s="211">
        <f t="shared" ref="L28:L36" si="11">SUM(K28/C28*100)</f>
        <v>29.195846875909581</v>
      </c>
      <c r="M28" s="615">
        <f>SUM(M29:M30)</f>
        <v>18745392.030000001</v>
      </c>
      <c r="N28" s="211">
        <f t="shared" ref="N28:N36" si="12">SUM(M28/C28*100)</f>
        <v>27.724160986376774</v>
      </c>
      <c r="O28" s="211">
        <f>SUM(O29:O30)</f>
        <v>0</v>
      </c>
      <c r="P28" s="184"/>
      <c r="Q28" s="580"/>
      <c r="R28" s="580"/>
    </row>
    <row r="29" spans="1:18" ht="21" customHeight="1" x14ac:dyDescent="0.3">
      <c r="A29" s="179" t="s">
        <v>42</v>
      </c>
      <c r="B29" s="213">
        <f>'รวมใบกัน ม.ค. 68'!B12-B57+'รวมใบกัน ม.ค. 68'!B21</f>
        <v>138007340</v>
      </c>
      <c r="C29" s="213">
        <f>SUM('GF ม.ค. 68'!D11)</f>
        <v>64200420</v>
      </c>
      <c r="D29" s="616">
        <f>SUM('GF ม.ค. 68'!E11)</f>
        <v>45641442.809999995</v>
      </c>
      <c r="E29" s="214">
        <f t="shared" si="7"/>
        <v>33.071750248936034</v>
      </c>
      <c r="F29" s="214">
        <f t="shared" si="8"/>
        <v>71.092124958061007</v>
      </c>
      <c r="G29" s="213">
        <f>SUM(H29-D29)</f>
        <v>995064.52000000328</v>
      </c>
      <c r="H29" s="617">
        <f>SUM('รวมใบกัน ม.ค. 68'!E11)</f>
        <v>46636507.329999998</v>
      </c>
      <c r="I29" s="214">
        <f t="shared" si="9"/>
        <v>33.792773145254444</v>
      </c>
      <c r="J29" s="214">
        <f t="shared" si="10"/>
        <v>72.642059553504481</v>
      </c>
      <c r="K29" s="616">
        <f>SUM(C29-D29)</f>
        <v>18558977.190000005</v>
      </c>
      <c r="L29" s="214">
        <f t="shared" si="11"/>
        <v>28.907875041938986</v>
      </c>
      <c r="M29" s="617">
        <f>SUM(C29-H29)</f>
        <v>17563912.670000002</v>
      </c>
      <c r="N29" s="214">
        <f t="shared" si="12"/>
        <v>27.357940446495526</v>
      </c>
      <c r="O29" s="618"/>
      <c r="Q29" s="562"/>
      <c r="R29" s="562"/>
    </row>
    <row r="30" spans="1:18" ht="21" customHeight="1" x14ac:dyDescent="0.3">
      <c r="A30" s="179" t="s">
        <v>43</v>
      </c>
      <c r="B30" s="213">
        <f>'รวมใบกัน ม.ค. 68'!$B$23</f>
        <v>6827500</v>
      </c>
      <c r="C30" s="213">
        <f>SUM('GF ม.ค. 68'!D23)</f>
        <v>3413500</v>
      </c>
      <c r="D30" s="616">
        <f>SUM('GF ม.ค. 68'!E23)</f>
        <v>2232020.64</v>
      </c>
      <c r="E30" s="214">
        <f t="shared" si="7"/>
        <v>32.691624166971806</v>
      </c>
      <c r="F30" s="214">
        <f t="shared" si="8"/>
        <v>65.388036912260148</v>
      </c>
      <c r="G30" s="213">
        <f>SUM(H30-D30)</f>
        <v>0</v>
      </c>
      <c r="H30" s="617">
        <f>SUM('รวมใบกัน ม.ค. 68'!E23)</f>
        <v>2232020.64</v>
      </c>
      <c r="I30" s="214">
        <f t="shared" si="9"/>
        <v>32.691624166971806</v>
      </c>
      <c r="J30" s="214">
        <f t="shared" si="10"/>
        <v>65.388036912260148</v>
      </c>
      <c r="K30" s="616">
        <f>SUM(C30-D30)</f>
        <v>1181479.3599999999</v>
      </c>
      <c r="L30" s="214">
        <f t="shared" si="11"/>
        <v>34.611963087739852</v>
      </c>
      <c r="M30" s="617">
        <f>SUM(C30-H30)</f>
        <v>1181479.3599999999</v>
      </c>
      <c r="N30" s="214">
        <f t="shared" si="12"/>
        <v>34.611963087739852</v>
      </c>
      <c r="O30" s="618"/>
      <c r="Q30" s="562"/>
      <c r="R30" s="562"/>
    </row>
    <row r="31" spans="1:18" ht="21" customHeight="1" x14ac:dyDescent="0.3">
      <c r="A31" s="215" t="s">
        <v>28</v>
      </c>
      <c r="B31" s="211">
        <f>SUM(B32)</f>
        <v>295600</v>
      </c>
      <c r="C31" s="211">
        <f>SUM(C32)</f>
        <v>147800</v>
      </c>
      <c r="D31" s="614">
        <f>SUM(D32)</f>
        <v>103165.56</v>
      </c>
      <c r="E31" s="211">
        <f t="shared" si="7"/>
        <v>34.900392422192148</v>
      </c>
      <c r="F31" s="211">
        <f t="shared" si="8"/>
        <v>69.800784844384296</v>
      </c>
      <c r="G31" s="211">
        <f>SUM(G32)</f>
        <v>-1479.8999999999942</v>
      </c>
      <c r="H31" s="615">
        <f>SUM(H32)</f>
        <v>101685.66</v>
      </c>
      <c r="I31" s="211">
        <f t="shared" si="9"/>
        <v>34.399749661705009</v>
      </c>
      <c r="J31" s="211">
        <f t="shared" si="10"/>
        <v>68.799499323410018</v>
      </c>
      <c r="K31" s="614">
        <f>SUM(K32)</f>
        <v>44634.44</v>
      </c>
      <c r="L31" s="211">
        <f t="shared" si="11"/>
        <v>30.1992151556157</v>
      </c>
      <c r="M31" s="615">
        <f>SUM(M32)</f>
        <v>46114.34</v>
      </c>
      <c r="N31" s="211">
        <f t="shared" si="12"/>
        <v>31.200500676589982</v>
      </c>
      <c r="O31" s="211">
        <f>SUM(O32)</f>
        <v>0</v>
      </c>
      <c r="P31" s="184"/>
      <c r="Q31" s="580"/>
      <c r="R31" s="580"/>
    </row>
    <row r="32" spans="1:18" ht="21" customHeight="1" x14ac:dyDescent="0.3">
      <c r="A32" s="179" t="s">
        <v>44</v>
      </c>
      <c r="B32" s="213">
        <f>'รวมใบกัน ม.ค. 68'!D25*2</f>
        <v>295600</v>
      </c>
      <c r="C32" s="213">
        <f>SUM('GF ม.ค. 68'!D25)</f>
        <v>147800</v>
      </c>
      <c r="D32" s="616">
        <f>SUM('GF ม.ค. 68'!E25)</f>
        <v>103165.56</v>
      </c>
      <c r="E32" s="214">
        <f t="shared" si="7"/>
        <v>34.900392422192148</v>
      </c>
      <c r="F32" s="214">
        <f t="shared" si="8"/>
        <v>69.800784844384296</v>
      </c>
      <c r="G32" s="213">
        <f>SUM(H32-D32)</f>
        <v>-1479.8999999999942</v>
      </c>
      <c r="H32" s="617">
        <f>SUM('รวมใบกัน ม.ค. 68'!E25)</f>
        <v>101685.66</v>
      </c>
      <c r="I32" s="214">
        <f t="shared" si="9"/>
        <v>34.399749661705009</v>
      </c>
      <c r="J32" s="214">
        <f t="shared" si="10"/>
        <v>68.799499323410018</v>
      </c>
      <c r="K32" s="616">
        <f>SUM(C32-D32)</f>
        <v>44634.44</v>
      </c>
      <c r="L32" s="214">
        <f t="shared" si="11"/>
        <v>30.1992151556157</v>
      </c>
      <c r="M32" s="617">
        <f>SUM(C32-H32)</f>
        <v>46114.34</v>
      </c>
      <c r="N32" s="214">
        <f t="shared" si="12"/>
        <v>31.200500676589982</v>
      </c>
      <c r="O32" s="618"/>
      <c r="Q32" s="562"/>
      <c r="R32" s="562"/>
    </row>
    <row r="33" spans="1:16" ht="21" customHeight="1" x14ac:dyDescent="0.3">
      <c r="A33" s="215" t="s">
        <v>29</v>
      </c>
      <c r="B33" s="211">
        <f>SUM(B34+B37+B39)</f>
        <v>332295600</v>
      </c>
      <c r="C33" s="211">
        <f>SUM(C34+C37+C39)</f>
        <v>288008500</v>
      </c>
      <c r="D33" s="614">
        <f>SUM(D34+D37+D39)</f>
        <v>133845810.03</v>
      </c>
      <c r="E33" s="211">
        <f t="shared" si="7"/>
        <v>40.279140027734343</v>
      </c>
      <c r="F33" s="211">
        <f t="shared" si="8"/>
        <v>46.472867998687541</v>
      </c>
      <c r="G33" s="211">
        <f>SUM(G34+G37+G39)</f>
        <v>7867405.8199999984</v>
      </c>
      <c r="H33" s="615">
        <f>SUM(H34+H37+H39)</f>
        <v>141713215.84999999</v>
      </c>
      <c r="I33" s="211">
        <f t="shared" si="9"/>
        <v>42.646732562814556</v>
      </c>
      <c r="J33" s="211">
        <f t="shared" si="10"/>
        <v>49.20452550879574</v>
      </c>
      <c r="K33" s="614">
        <f>SUM(K34+K37+K39)</f>
        <v>154162689.97</v>
      </c>
      <c r="L33" s="211">
        <f t="shared" si="11"/>
        <v>53.527132001312459</v>
      </c>
      <c r="M33" s="615">
        <f>SUM(M34+M37+M39)</f>
        <v>146295284.15000001</v>
      </c>
      <c r="N33" s="211">
        <f t="shared" si="12"/>
        <v>50.795474491204253</v>
      </c>
      <c r="O33" s="211">
        <f>SUM(O34+O37+O39)</f>
        <v>0</v>
      </c>
      <c r="P33" s="184"/>
    </row>
    <row r="34" spans="1:16" ht="21" customHeight="1" x14ac:dyDescent="0.3">
      <c r="A34" s="215" t="s">
        <v>28</v>
      </c>
      <c r="B34" s="211">
        <f>SUM(B35:B36)</f>
        <v>37032400</v>
      </c>
      <c r="C34" s="211">
        <f>SUM(C35:C36)</f>
        <v>29575600</v>
      </c>
      <c r="D34" s="614">
        <f>SUM(D35:D36)</f>
        <v>5230894.8100000005</v>
      </c>
      <c r="E34" s="211">
        <f t="shared" si="7"/>
        <v>14.125184460094406</v>
      </c>
      <c r="F34" s="211">
        <f t="shared" si="8"/>
        <v>17.686521355441652</v>
      </c>
      <c r="G34" s="211">
        <f>SUM(G35:G36)</f>
        <v>6797294.0699999984</v>
      </c>
      <c r="H34" s="615">
        <f>SUM(H35:H36)</f>
        <v>12028188.879999999</v>
      </c>
      <c r="I34" s="211">
        <f t="shared" si="9"/>
        <v>32.480176494097059</v>
      </c>
      <c r="J34" s="211">
        <f t="shared" si="10"/>
        <v>40.669297934784076</v>
      </c>
      <c r="K34" s="614">
        <f>SUM(K35:K36)</f>
        <v>24344705.189999998</v>
      </c>
      <c r="L34" s="211">
        <f t="shared" si="11"/>
        <v>82.313478644558344</v>
      </c>
      <c r="M34" s="615">
        <f>SUM(M35:M36)</f>
        <v>17547411.120000001</v>
      </c>
      <c r="N34" s="211">
        <f t="shared" si="12"/>
        <v>59.330702065215924</v>
      </c>
      <c r="O34" s="211">
        <f>SUM(O35:O36)</f>
        <v>0</v>
      </c>
      <c r="P34" s="184"/>
    </row>
    <row r="35" spans="1:16" ht="21" customHeight="1" x14ac:dyDescent="0.3">
      <c r="A35" s="179" t="s">
        <v>44</v>
      </c>
      <c r="B35" s="213">
        <v>26162700</v>
      </c>
      <c r="C35" s="213">
        <f>SUM('GF ม.ค. 68'!D38)</f>
        <v>22111000</v>
      </c>
      <c r="D35" s="616">
        <f>SUM('GF ม.ค. 68'!E38)</f>
        <v>2584906.34</v>
      </c>
      <c r="E35" s="214">
        <f t="shared" si="7"/>
        <v>9.8801207061962248</v>
      </c>
      <c r="F35" s="214">
        <f t="shared" si="8"/>
        <v>11.690589932612726</v>
      </c>
      <c r="G35" s="213">
        <f>SUM(H35-D35)</f>
        <v>4716622.42</v>
      </c>
      <c r="H35" s="617">
        <f>SUM('รวมใบกัน ม.ค. 68'!E38)</f>
        <v>7301528.7599999998</v>
      </c>
      <c r="I35" s="214">
        <f t="shared" si="9"/>
        <v>27.908162230962404</v>
      </c>
      <c r="J35" s="214">
        <f t="shared" si="10"/>
        <v>33.022155307313099</v>
      </c>
      <c r="K35" s="616">
        <f>SUM(C35-D35)</f>
        <v>19526093.66</v>
      </c>
      <c r="L35" s="214">
        <f t="shared" si="11"/>
        <v>88.309410067387276</v>
      </c>
      <c r="M35" s="617">
        <f>SUM(C35-H35)</f>
        <v>14809471.24</v>
      </c>
      <c r="N35" s="214">
        <f t="shared" si="12"/>
        <v>66.977844692686901</v>
      </c>
      <c r="O35" s="618"/>
    </row>
    <row r="36" spans="1:16" ht="21" customHeight="1" x14ac:dyDescent="0.3">
      <c r="A36" s="179" t="s">
        <v>45</v>
      </c>
      <c r="B36" s="213">
        <v>10869700</v>
      </c>
      <c r="C36" s="213">
        <f>SUM('GF ม.ค. 68'!D86)</f>
        <v>7464600</v>
      </c>
      <c r="D36" s="616">
        <f>SUM('GF ม.ค. 68'!E86)</f>
        <v>2645988.4700000002</v>
      </c>
      <c r="E36" s="214">
        <f t="shared" si="7"/>
        <v>24.342792073378291</v>
      </c>
      <c r="F36" s="214">
        <f t="shared" si="8"/>
        <v>35.447156846984434</v>
      </c>
      <c r="G36" s="213">
        <f>SUM(H36-D36)</f>
        <v>2080671.649999999</v>
      </c>
      <c r="H36" s="617">
        <f>SUM('รวมใบกัน ม.ค. 68'!E86)</f>
        <v>4726660.1199999992</v>
      </c>
      <c r="I36" s="214">
        <f t="shared" si="9"/>
        <v>43.484733893299712</v>
      </c>
      <c r="J36" s="214">
        <f t="shared" si="10"/>
        <v>63.321010101010089</v>
      </c>
      <c r="K36" s="616">
        <f>SUM(C36-D36)</f>
        <v>4818611.5299999993</v>
      </c>
      <c r="L36" s="214">
        <f t="shared" si="11"/>
        <v>64.552843153015559</v>
      </c>
      <c r="M36" s="617">
        <f>SUM(C36-H36)</f>
        <v>2737939.8800000008</v>
      </c>
      <c r="N36" s="214">
        <f t="shared" si="12"/>
        <v>36.678989898989911</v>
      </c>
      <c r="O36" s="618"/>
    </row>
    <row r="37" spans="1:16" ht="21" customHeight="1" x14ac:dyDescent="0.3">
      <c r="A37" s="215" t="s">
        <v>30</v>
      </c>
      <c r="B37" s="211">
        <f>SUM(B38)</f>
        <v>125549100</v>
      </c>
      <c r="C37" s="211">
        <f>SUM(C38)</f>
        <v>98524800</v>
      </c>
      <c r="D37" s="614">
        <f>SUM(D38)</f>
        <v>0</v>
      </c>
      <c r="E37" s="211">
        <v>0</v>
      </c>
      <c r="F37" s="211">
        <v>0</v>
      </c>
      <c r="G37" s="211">
        <f>SUM(G38)</f>
        <v>0</v>
      </c>
      <c r="H37" s="615">
        <f>SUM(H38)</f>
        <v>0</v>
      </c>
      <c r="I37" s="211">
        <v>0</v>
      </c>
      <c r="J37" s="211">
        <v>0</v>
      </c>
      <c r="K37" s="614">
        <f>SUM(K38)</f>
        <v>98524800</v>
      </c>
      <c r="L37" s="211">
        <v>0</v>
      </c>
      <c r="M37" s="615">
        <f>SUM(M38)</f>
        <v>98524800</v>
      </c>
      <c r="N37" s="211">
        <v>0</v>
      </c>
      <c r="O37" s="211">
        <f>SUM(O38)</f>
        <v>0</v>
      </c>
      <c r="P37" s="184"/>
    </row>
    <row r="38" spans="1:16" ht="21" customHeight="1" x14ac:dyDescent="0.3">
      <c r="A38" s="179" t="s">
        <v>46</v>
      </c>
      <c r="B38" s="213">
        <v>125549100</v>
      </c>
      <c r="C38" s="213">
        <f>SUM('GF ม.ค. 68'!D99)</f>
        <v>98524800</v>
      </c>
      <c r="D38" s="616">
        <f>SUM('GF ม.ค. 68'!E99)</f>
        <v>0</v>
      </c>
      <c r="E38" s="214">
        <v>0</v>
      </c>
      <c r="F38" s="214">
        <v>0</v>
      </c>
      <c r="G38" s="213">
        <f>SUM(H38-D38)</f>
        <v>0</v>
      </c>
      <c r="H38" s="617">
        <f>SUM('รวมใบกัน ม.ค. 68'!E99)</f>
        <v>0</v>
      </c>
      <c r="I38" s="214">
        <v>0</v>
      </c>
      <c r="J38" s="214">
        <v>0</v>
      </c>
      <c r="K38" s="616">
        <f>SUM(C38-D38)</f>
        <v>98524800</v>
      </c>
      <c r="L38" s="214">
        <v>0</v>
      </c>
      <c r="M38" s="617">
        <f>SUM(C38-H38)</f>
        <v>98524800</v>
      </c>
      <c r="N38" s="214">
        <v>0</v>
      </c>
      <c r="O38" s="618"/>
    </row>
    <row r="39" spans="1:16" ht="21" customHeight="1" x14ac:dyDescent="0.3">
      <c r="A39" s="215" t="s">
        <v>47</v>
      </c>
      <c r="B39" s="211">
        <f>SUM(B40:B41)</f>
        <v>169714100</v>
      </c>
      <c r="C39" s="211">
        <f>SUM(C40:C41)</f>
        <v>159908100</v>
      </c>
      <c r="D39" s="614">
        <f>SUM(D40:D41)</f>
        <v>128614915.22</v>
      </c>
      <c r="E39" s="211">
        <f>SUM(D39/B39*100)</f>
        <v>75.783282131537689</v>
      </c>
      <c r="F39" s="211">
        <f>SUM(D39/C39*100)</f>
        <v>80.43051929201836</v>
      </c>
      <c r="G39" s="211">
        <f>SUM(G40:G41)</f>
        <v>1070111.75</v>
      </c>
      <c r="H39" s="615">
        <f>SUM(H40:H41)</f>
        <v>129685026.97</v>
      </c>
      <c r="I39" s="211">
        <f>SUM(H39/B39*100)</f>
        <v>76.413820047951234</v>
      </c>
      <c r="J39" s="211">
        <f>SUM(H39/C39*100)</f>
        <v>81.099723509941029</v>
      </c>
      <c r="K39" s="614">
        <f>SUM(K40:K41)</f>
        <v>31293184.780000001</v>
      </c>
      <c r="L39" s="211">
        <f>SUM(K39/C39*100)</f>
        <v>19.569480707981647</v>
      </c>
      <c r="M39" s="615">
        <f>SUM(M40:M41)</f>
        <v>30223073.030000001</v>
      </c>
      <c r="N39" s="211">
        <f>SUM(M39/C39*100)</f>
        <v>18.900276490058978</v>
      </c>
      <c r="O39" s="211">
        <f>SUM(O40:O41)</f>
        <v>0</v>
      </c>
      <c r="P39" s="184"/>
    </row>
    <row r="40" spans="1:16" ht="21" customHeight="1" x14ac:dyDescent="0.3">
      <c r="A40" s="179" t="s">
        <v>48</v>
      </c>
      <c r="B40" s="213">
        <v>22368200</v>
      </c>
      <c r="C40" s="213">
        <f>SUM('GF ม.ค. 68'!D119)</f>
        <v>32337100</v>
      </c>
      <c r="D40" s="616">
        <f>SUM('GF ม.ค. 68'!E119)</f>
        <v>1077257.2199999997</v>
      </c>
      <c r="E40" s="214">
        <v>0</v>
      </c>
      <c r="F40" s="214">
        <v>0</v>
      </c>
      <c r="G40" s="213">
        <f>+H40-D40</f>
        <v>1105769.75</v>
      </c>
      <c r="H40" s="617">
        <f>SUM('รวมใบกัน ม.ค. 68'!E119)</f>
        <v>2183026.9699999997</v>
      </c>
      <c r="I40" s="214">
        <v>0</v>
      </c>
      <c r="J40" s="214">
        <v>0</v>
      </c>
      <c r="K40" s="616">
        <f>SUM(C40-D40)</f>
        <v>31259842.780000001</v>
      </c>
      <c r="L40" s="214">
        <v>0</v>
      </c>
      <c r="M40" s="617">
        <f>SUM(C40-H40)</f>
        <v>30154073.030000001</v>
      </c>
      <c r="N40" s="214">
        <v>0</v>
      </c>
      <c r="O40" s="618"/>
    </row>
    <row r="41" spans="1:16" ht="21" customHeight="1" x14ac:dyDescent="0.3">
      <c r="A41" s="179" t="s">
        <v>76</v>
      </c>
      <c r="B41" s="213">
        <v>147345900</v>
      </c>
      <c r="C41" s="213">
        <f>SUM('GF ม.ค. 68'!D128)</f>
        <v>127571000</v>
      </c>
      <c r="D41" s="616">
        <f>SUM('GF ม.ค. 68'!E128)</f>
        <v>127537658</v>
      </c>
      <c r="E41" s="214">
        <f>SUM(D41/B41*100)</f>
        <v>86.556638494861417</v>
      </c>
      <c r="F41" s="214">
        <f>SUM(D41/C41*100)</f>
        <v>99.973863965948368</v>
      </c>
      <c r="G41" s="213">
        <f>SUM(H41-D41)</f>
        <v>-35658</v>
      </c>
      <c r="H41" s="617">
        <f>SUM('รวมใบกัน ม.ค. 68'!E128)</f>
        <v>127502000</v>
      </c>
      <c r="I41" s="214">
        <f>SUM(H41/B41*100)</f>
        <v>86.532438296552542</v>
      </c>
      <c r="J41" s="214">
        <f>SUM(H41/C41*100)</f>
        <v>99.945912472270351</v>
      </c>
      <c r="K41" s="616">
        <f>SUM(C41-D41)</f>
        <v>33342</v>
      </c>
      <c r="L41" s="214">
        <f>SUM(K41/C41*100)</f>
        <v>2.6136034051626154E-2</v>
      </c>
      <c r="M41" s="617">
        <f>SUM(C41-H41)</f>
        <v>69000</v>
      </c>
      <c r="N41" s="214">
        <f>SUM(M41/C41*100)</f>
        <v>5.4087527729656429E-2</v>
      </c>
      <c r="O41" s="618"/>
    </row>
    <row r="42" spans="1:16" ht="21" customHeight="1" x14ac:dyDescent="0.3">
      <c r="A42" s="179"/>
      <c r="B42" s="238"/>
      <c r="C42" s="238"/>
      <c r="D42" s="619"/>
      <c r="E42" s="238"/>
      <c r="F42" s="238"/>
      <c r="G42" s="238"/>
      <c r="H42" s="620"/>
      <c r="I42" s="238"/>
      <c r="J42" s="238"/>
      <c r="K42" s="619"/>
      <c r="L42" s="238"/>
      <c r="M42" s="620"/>
      <c r="N42" s="238"/>
      <c r="O42" s="591"/>
    </row>
    <row r="43" spans="1:16" ht="21" customHeight="1" x14ac:dyDescent="0.3">
      <c r="A43" s="216" t="s">
        <v>33</v>
      </c>
      <c r="B43" s="242">
        <f>SUM(B28+B31+B33)</f>
        <v>477426040</v>
      </c>
      <c r="C43" s="242">
        <f>SUM(C28+C31+C33)</f>
        <v>355770220</v>
      </c>
      <c r="D43" s="602">
        <f>SUM(D28+D31+D33)</f>
        <v>181822439.03999999</v>
      </c>
      <c r="E43" s="241">
        <f>SUM(D43/B43*100)</f>
        <v>38.083896521438163</v>
      </c>
      <c r="F43" s="241">
        <f>SUM(D43/C43*100)</f>
        <v>51.106705625895273</v>
      </c>
      <c r="G43" s="217">
        <f>SUM(G28+G31+G33)</f>
        <v>8860990.4400000013</v>
      </c>
      <c r="H43" s="621">
        <f>SUM(H28+H31+H33)</f>
        <v>190683429.47999999</v>
      </c>
      <c r="I43" s="217">
        <f>SUM(H43/B43*100)</f>
        <v>39.939888800367903</v>
      </c>
      <c r="J43" s="217">
        <f>SUM(H43/C43*100)</f>
        <v>53.597355472866724</v>
      </c>
      <c r="K43" s="622">
        <f>SUM(K28+K31+K33)</f>
        <v>173947780.96000001</v>
      </c>
      <c r="L43" s="217">
        <f>SUM(K43/C43*100)</f>
        <v>48.893294374104727</v>
      </c>
      <c r="M43" s="623">
        <f>SUM(M28+M31+M33)</f>
        <v>165086790.52000001</v>
      </c>
      <c r="N43" s="217">
        <f>SUM(M43/C43*100)</f>
        <v>46.402644527133276</v>
      </c>
      <c r="O43" s="241"/>
      <c r="P43" s="184"/>
    </row>
    <row r="44" spans="1:16" ht="21" customHeight="1" x14ac:dyDescent="0.3">
      <c r="A44" s="624" t="s">
        <v>33</v>
      </c>
      <c r="B44" s="625"/>
      <c r="C44" s="222">
        <f>SUM(C43/B43)</f>
        <v>0.74518394514048714</v>
      </c>
      <c r="D44" s="626"/>
      <c r="E44" s="627">
        <f>SUM(D43/B43)</f>
        <v>0.38083896521438165</v>
      </c>
      <c r="F44" s="627">
        <f>SUM(D43/C43)</f>
        <v>0.51106705625895277</v>
      </c>
      <c r="G44" s="628"/>
      <c r="H44" s="629"/>
      <c r="I44" s="222">
        <f>SUM(H43/B43)</f>
        <v>0.39939888800367906</v>
      </c>
      <c r="J44" s="222">
        <f>SUM(H43/C43)</f>
        <v>0.53597355472866726</v>
      </c>
      <c r="K44" s="630"/>
      <c r="L44" s="222">
        <f>SUM(K43/C43)</f>
        <v>0.48893294374104729</v>
      </c>
      <c r="M44" s="631"/>
      <c r="N44" s="222">
        <f>SUM(M43/C43)</f>
        <v>0.46402644527133274</v>
      </c>
      <c r="O44" s="632"/>
    </row>
    <row r="45" spans="1:16" ht="21" customHeight="1" x14ac:dyDescent="0.3">
      <c r="A45" s="633"/>
      <c r="B45" s="634"/>
      <c r="C45" s="635"/>
      <c r="D45" s="636"/>
      <c r="E45" s="635"/>
      <c r="F45" s="635"/>
      <c r="G45" s="635"/>
      <c r="H45" s="637"/>
      <c r="I45" s="635"/>
      <c r="J45" s="635"/>
      <c r="K45" s="638"/>
      <c r="L45" s="635"/>
      <c r="M45" s="639"/>
      <c r="N45" s="635"/>
      <c r="O45" s="640"/>
    </row>
    <row r="46" spans="1:16" ht="21" customHeight="1" x14ac:dyDescent="0.3">
      <c r="A46" s="27"/>
      <c r="B46" s="641"/>
      <c r="C46" s="642"/>
      <c r="D46" s="643"/>
      <c r="E46" s="642"/>
      <c r="F46" s="642"/>
      <c r="G46" s="642"/>
      <c r="H46" s="644"/>
      <c r="I46" s="642"/>
      <c r="J46" s="642"/>
      <c r="K46" s="645"/>
      <c r="L46" s="642"/>
      <c r="M46" s="646"/>
      <c r="N46" s="642"/>
      <c r="O46" s="647"/>
    </row>
    <row r="47" spans="1:16" ht="21" customHeight="1" x14ac:dyDescent="0.3">
      <c r="A47" s="10"/>
      <c r="B47" s="647"/>
      <c r="C47" s="642"/>
      <c r="D47" s="643"/>
      <c r="E47" s="642"/>
      <c r="F47" s="642"/>
      <c r="G47" s="642"/>
      <c r="H47" s="644"/>
      <c r="I47" s="642"/>
      <c r="J47" s="642"/>
      <c r="K47" s="645"/>
      <c r="L47" s="642"/>
      <c r="M47" s="646"/>
      <c r="N47" s="642"/>
      <c r="O47" s="647"/>
    </row>
    <row r="48" spans="1:16" ht="21" customHeight="1" x14ac:dyDescent="0.3">
      <c r="A48" s="10"/>
      <c r="B48" s="647"/>
      <c r="C48" s="642"/>
      <c r="D48" s="643"/>
      <c r="E48" s="642"/>
      <c r="F48" s="642"/>
      <c r="G48" s="642"/>
      <c r="H48" s="644"/>
      <c r="I48" s="642"/>
      <c r="J48" s="642"/>
      <c r="K48" s="645"/>
      <c r="L48" s="642"/>
      <c r="M48" s="646"/>
      <c r="N48" s="642"/>
      <c r="O48" s="647"/>
    </row>
    <row r="49" spans="1:16" ht="21" customHeight="1" x14ac:dyDescent="0.3">
      <c r="A49" s="10"/>
      <c r="B49" s="647"/>
      <c r="C49" s="642"/>
      <c r="D49" s="643"/>
      <c r="E49" s="642"/>
      <c r="F49" s="642"/>
      <c r="G49" s="642"/>
      <c r="H49" s="644"/>
      <c r="I49" s="642"/>
      <c r="J49" s="642"/>
      <c r="K49" s="645"/>
      <c r="L49" s="642"/>
      <c r="M49" s="646"/>
      <c r="N49" s="642"/>
      <c r="O49" s="647"/>
    </row>
    <row r="50" spans="1:16" ht="21" customHeight="1" x14ac:dyDescent="0.3">
      <c r="A50" s="10"/>
      <c r="B50" s="647"/>
      <c r="C50" s="642"/>
      <c r="D50" s="643"/>
      <c r="E50" s="642"/>
      <c r="F50" s="642"/>
      <c r="G50" s="642"/>
      <c r="H50" s="644"/>
      <c r="I50" s="642"/>
      <c r="J50" s="642"/>
      <c r="K50" s="645"/>
      <c r="L50" s="642"/>
      <c r="M50" s="646"/>
      <c r="N50" s="642"/>
      <c r="O50" s="647"/>
    </row>
    <row r="51" spans="1:16" ht="21" customHeight="1" x14ac:dyDescent="0.3">
      <c r="A51" s="10"/>
      <c r="B51" s="647"/>
      <c r="C51" s="642"/>
      <c r="D51" s="643"/>
      <c r="E51" s="642"/>
      <c r="F51" s="642"/>
      <c r="G51" s="642"/>
      <c r="H51" s="644"/>
      <c r="I51" s="642"/>
      <c r="J51" s="642"/>
      <c r="K51" s="645"/>
      <c r="L51" s="642"/>
      <c r="M51" s="646"/>
      <c r="N51" s="642"/>
      <c r="O51" s="647"/>
    </row>
    <row r="52" spans="1:16" ht="21" customHeight="1" x14ac:dyDescent="0.3">
      <c r="A52" s="10"/>
      <c r="B52" s="647"/>
      <c r="C52" s="642"/>
      <c r="D52" s="643"/>
      <c r="E52" s="642"/>
      <c r="F52" s="642"/>
      <c r="G52" s="642"/>
      <c r="H52" s="644"/>
      <c r="I52" s="642"/>
      <c r="J52" s="642"/>
      <c r="K52" s="645"/>
      <c r="L52" s="642"/>
      <c r="M52" s="646"/>
      <c r="N52" s="642"/>
      <c r="O52" s="647"/>
    </row>
    <row r="53" spans="1:16" ht="21" customHeight="1" x14ac:dyDescent="0.3">
      <c r="A53" s="10"/>
      <c r="B53" s="647"/>
      <c r="C53" s="642"/>
      <c r="D53" s="643"/>
      <c r="E53" s="642"/>
      <c r="F53" s="642"/>
      <c r="G53" s="642"/>
      <c r="H53" s="644"/>
      <c r="I53" s="642"/>
      <c r="J53" s="642"/>
      <c r="K53" s="645"/>
      <c r="L53" s="642"/>
      <c r="M53" s="646"/>
      <c r="N53" s="642"/>
      <c r="O53" s="647"/>
    </row>
    <row r="54" spans="1:16" ht="21" customHeight="1" x14ac:dyDescent="0.3">
      <c r="A54" s="6" t="s">
        <v>50</v>
      </c>
      <c r="B54" s="209"/>
      <c r="C54" s="209"/>
      <c r="D54" s="612"/>
      <c r="E54" s="209"/>
      <c r="F54" s="209"/>
      <c r="G54" s="209"/>
      <c r="H54" s="613"/>
      <c r="I54" s="209"/>
      <c r="J54" s="209"/>
      <c r="K54" s="612"/>
      <c r="L54" s="209"/>
      <c r="M54" s="613"/>
      <c r="N54" s="209"/>
      <c r="O54" s="209"/>
    </row>
    <row r="55" spans="1:16" ht="21" customHeight="1" x14ac:dyDescent="0.3">
      <c r="A55" s="6" t="s">
        <v>41</v>
      </c>
      <c r="B55" s="209"/>
      <c r="C55" s="209"/>
      <c r="D55" s="612"/>
      <c r="E55" s="209"/>
      <c r="F55" s="209"/>
      <c r="G55" s="209"/>
      <c r="H55" s="613"/>
      <c r="I55" s="209"/>
      <c r="J55" s="209"/>
      <c r="K55" s="612"/>
      <c r="L55" s="209"/>
      <c r="M55" s="613"/>
      <c r="N55" s="209"/>
      <c r="O55" s="209"/>
    </row>
    <row r="56" spans="1:16" ht="21" customHeight="1" x14ac:dyDescent="0.3">
      <c r="A56" s="210" t="s">
        <v>27</v>
      </c>
      <c r="B56" s="211">
        <f>SUM(B57:B58)</f>
        <v>10584960</v>
      </c>
      <c r="C56" s="211">
        <f>SUM(C57:C58)</f>
        <v>8873080</v>
      </c>
      <c r="D56" s="614">
        <f>SUM(D57:D58)</f>
        <v>8077063.9600000009</v>
      </c>
      <c r="E56" s="211">
        <f t="shared" ref="E56:E64" si="13">SUM(D56/B56*100)</f>
        <v>76.30698613882339</v>
      </c>
      <c r="F56" s="211">
        <f t="shared" ref="F56:F64" si="14">SUM(D56/C56*100)</f>
        <v>91.028864385309276</v>
      </c>
      <c r="G56" s="211">
        <f>SUM(G57:G58)</f>
        <v>0</v>
      </c>
      <c r="H56" s="615">
        <f>SUM(H57:H58)</f>
        <v>8077063.9600000009</v>
      </c>
      <c r="I56" s="211">
        <f t="shared" ref="I56:I64" si="15">SUM(H56/B56*100)</f>
        <v>76.30698613882339</v>
      </c>
      <c r="J56" s="211">
        <f t="shared" ref="J56:J64" si="16">SUM(H56/C56*100)</f>
        <v>91.028864385309276</v>
      </c>
      <c r="K56" s="614">
        <f>SUM(K57:K58)</f>
        <v>796016.03999999957</v>
      </c>
      <c r="L56" s="211">
        <f t="shared" ref="L56:L64" si="17">SUM(K56/C56*100)</f>
        <v>8.9711356146907235</v>
      </c>
      <c r="M56" s="615">
        <f>SUM(M57:M58)</f>
        <v>796016.03999999957</v>
      </c>
      <c r="N56" s="211">
        <f t="shared" ref="N56:N64" si="18">SUM(M56/C56*100)</f>
        <v>8.9711356146907235</v>
      </c>
      <c r="O56" s="211">
        <f>SUM(O57:O58)</f>
        <v>0</v>
      </c>
      <c r="P56" s="184"/>
    </row>
    <row r="57" spans="1:16" ht="21" customHeight="1" x14ac:dyDescent="0.3">
      <c r="A57" s="179" t="s">
        <v>42</v>
      </c>
      <c r="B57" s="213">
        <f>2*1154580</f>
        <v>2309160</v>
      </c>
      <c r="C57" s="213">
        <f>SUM('GF ม.ค. 68'!G11)</f>
        <v>4735180</v>
      </c>
      <c r="D57" s="616">
        <f>SUM('GF ม.ค. 68'!H11)</f>
        <v>4183236.6500000004</v>
      </c>
      <c r="E57" s="214">
        <f t="shared" si="13"/>
        <v>181.15837144242931</v>
      </c>
      <c r="F57" s="214">
        <f t="shared" si="14"/>
        <v>88.343772570419716</v>
      </c>
      <c r="G57" s="214">
        <f>SUM(H57-D57)</f>
        <v>0</v>
      </c>
      <c r="H57" s="617">
        <f>SUM('รวมใบกัน ม.ค. 68'!H11)</f>
        <v>4183236.6500000004</v>
      </c>
      <c r="I57" s="214">
        <f t="shared" si="15"/>
        <v>181.15837144242931</v>
      </c>
      <c r="J57" s="214">
        <f t="shared" si="16"/>
        <v>88.343772570419716</v>
      </c>
      <c r="K57" s="616">
        <f>SUM(C57-D57)</f>
        <v>551943.34999999963</v>
      </c>
      <c r="L57" s="214">
        <f t="shared" si="17"/>
        <v>11.656227429580282</v>
      </c>
      <c r="M57" s="617">
        <f>SUM(C57-H57)</f>
        <v>551943.34999999963</v>
      </c>
      <c r="N57" s="214">
        <f t="shared" si="18"/>
        <v>11.656227429580282</v>
      </c>
      <c r="O57" s="618"/>
    </row>
    <row r="58" spans="1:16" ht="21" customHeight="1" x14ac:dyDescent="0.3">
      <c r="A58" s="179" t="s">
        <v>51</v>
      </c>
      <c r="B58" s="213">
        <f>'รวมใบกัน ม.ค. 68'!C22*2</f>
        <v>8275800</v>
      </c>
      <c r="C58" s="213">
        <f>SUM('GF ม.ค. 68'!G22)</f>
        <v>4137900</v>
      </c>
      <c r="D58" s="616">
        <f>SUM('GF ม.ค. 68'!H22)</f>
        <v>3893827.31</v>
      </c>
      <c r="E58" s="214">
        <f t="shared" si="13"/>
        <v>47.050766209913242</v>
      </c>
      <c r="F58" s="214">
        <f t="shared" si="14"/>
        <v>94.101532419826484</v>
      </c>
      <c r="G58" s="214">
        <f>SUM(H58-D58)</f>
        <v>0</v>
      </c>
      <c r="H58" s="617">
        <f>SUM('รวมใบกัน ม.ค. 68'!H22)</f>
        <v>3893827.31</v>
      </c>
      <c r="I58" s="214">
        <f t="shared" si="15"/>
        <v>47.050766209913242</v>
      </c>
      <c r="J58" s="214">
        <f t="shared" si="16"/>
        <v>94.101532419826484</v>
      </c>
      <c r="K58" s="616">
        <f>SUM(C58-D58)</f>
        <v>244072.68999999994</v>
      </c>
      <c r="L58" s="214">
        <f t="shared" si="17"/>
        <v>5.8984675801735165</v>
      </c>
      <c r="M58" s="617">
        <f>SUM(C58-H58)</f>
        <v>244072.68999999994</v>
      </c>
      <c r="N58" s="214">
        <f t="shared" si="18"/>
        <v>5.8984675801735165</v>
      </c>
      <c r="O58" s="618"/>
    </row>
    <row r="59" spans="1:16" ht="21" customHeight="1" x14ac:dyDescent="0.3">
      <c r="A59" s="215" t="s">
        <v>28</v>
      </c>
      <c r="B59" s="211">
        <f>SUM(B60)</f>
        <v>9199000</v>
      </c>
      <c r="C59" s="211">
        <f>SUM(C60)</f>
        <v>4599500</v>
      </c>
      <c r="D59" s="614">
        <f>SUM(D60)</f>
        <v>4411648.41</v>
      </c>
      <c r="E59" s="211">
        <f t="shared" si="13"/>
        <v>47.95791292531797</v>
      </c>
      <c r="F59" s="211">
        <f t="shared" si="14"/>
        <v>95.91582585063594</v>
      </c>
      <c r="G59" s="211">
        <f>SUM(G60)</f>
        <v>0</v>
      </c>
      <c r="H59" s="615">
        <f>SUM(H60)</f>
        <v>4411648.41</v>
      </c>
      <c r="I59" s="211">
        <f t="shared" si="15"/>
        <v>47.95791292531797</v>
      </c>
      <c r="J59" s="211">
        <f t="shared" si="16"/>
        <v>95.91582585063594</v>
      </c>
      <c r="K59" s="614">
        <f>SUM(K60)</f>
        <v>187851.58999999985</v>
      </c>
      <c r="L59" s="211">
        <f t="shared" si="17"/>
        <v>4.084174149364058</v>
      </c>
      <c r="M59" s="615">
        <f>SUM(M60)</f>
        <v>187851.58999999985</v>
      </c>
      <c r="N59" s="211">
        <f t="shared" si="18"/>
        <v>4.084174149364058</v>
      </c>
      <c r="O59" s="211">
        <f>SUM(O60)</f>
        <v>0</v>
      </c>
      <c r="P59" s="184"/>
    </row>
    <row r="60" spans="1:16" ht="21" customHeight="1" x14ac:dyDescent="0.3">
      <c r="A60" s="179" t="s">
        <v>44</v>
      </c>
      <c r="B60" s="213">
        <f>'รวมใบกัน ม.ค. 68'!G25*2</f>
        <v>9199000</v>
      </c>
      <c r="C60" s="213">
        <f>SUM('GF ม.ค. 68'!G25)</f>
        <v>4599500</v>
      </c>
      <c r="D60" s="616">
        <f>SUM('GF ม.ค. 68'!H25)</f>
        <v>4411648.41</v>
      </c>
      <c r="E60" s="214">
        <f t="shared" si="13"/>
        <v>47.95791292531797</v>
      </c>
      <c r="F60" s="214">
        <f t="shared" si="14"/>
        <v>95.91582585063594</v>
      </c>
      <c r="G60" s="214">
        <f>SUM(H60-D60)</f>
        <v>0</v>
      </c>
      <c r="H60" s="617">
        <f>SUM('รวมใบกัน ม.ค. 68'!H25)</f>
        <v>4411648.41</v>
      </c>
      <c r="I60" s="214">
        <f t="shared" si="15"/>
        <v>47.95791292531797</v>
      </c>
      <c r="J60" s="214">
        <f t="shared" si="16"/>
        <v>95.91582585063594</v>
      </c>
      <c r="K60" s="616">
        <f>SUM(C60-D60)</f>
        <v>187851.58999999985</v>
      </c>
      <c r="L60" s="214">
        <f t="shared" si="17"/>
        <v>4.084174149364058</v>
      </c>
      <c r="M60" s="617">
        <f>SUM(C60-H60)</f>
        <v>187851.58999999985</v>
      </c>
      <c r="N60" s="214">
        <f t="shared" si="18"/>
        <v>4.084174149364058</v>
      </c>
      <c r="O60" s="618"/>
    </row>
    <row r="61" spans="1:16" ht="21" customHeight="1" x14ac:dyDescent="0.3">
      <c r="A61" s="215" t="s">
        <v>29</v>
      </c>
      <c r="B61" s="211">
        <f>SUM(B62+B65+B67)</f>
        <v>5993700</v>
      </c>
      <c r="C61" s="211">
        <f>SUM(C62+C65+C67)</f>
        <v>3399900</v>
      </c>
      <c r="D61" s="614">
        <f>SUM(D62+D65+D67)</f>
        <v>3311149.01</v>
      </c>
      <c r="E61" s="211">
        <f t="shared" si="13"/>
        <v>55.243822847323024</v>
      </c>
      <c r="F61" s="211">
        <f t="shared" si="14"/>
        <v>97.389599988234949</v>
      </c>
      <c r="G61" s="211">
        <f>SUM(G62+G65+G67)</f>
        <v>0.5</v>
      </c>
      <c r="H61" s="615">
        <f>SUM(H62+H65+H67)</f>
        <v>3311149.51</v>
      </c>
      <c r="I61" s="211">
        <f t="shared" si="15"/>
        <v>55.243831189415552</v>
      </c>
      <c r="J61" s="211">
        <f t="shared" si="16"/>
        <v>97.389614694549834</v>
      </c>
      <c r="K61" s="614">
        <f>SUM(K62+K65+K67)</f>
        <v>88750.989999999991</v>
      </c>
      <c r="L61" s="211">
        <f t="shared" si="17"/>
        <v>2.6104000117650514</v>
      </c>
      <c r="M61" s="615">
        <f>SUM(M62+M65+M67)</f>
        <v>88750.489999999991</v>
      </c>
      <c r="N61" s="211">
        <f t="shared" si="18"/>
        <v>2.6103853054501602</v>
      </c>
      <c r="O61" s="211">
        <f>SUM(O62+O65+O67)</f>
        <v>0</v>
      </c>
      <c r="P61" s="184"/>
    </row>
    <row r="62" spans="1:16" ht="21" customHeight="1" x14ac:dyDescent="0.3">
      <c r="A62" s="215" t="s">
        <v>28</v>
      </c>
      <c r="B62" s="211">
        <f>SUM(B63:B64)</f>
        <v>5993700</v>
      </c>
      <c r="C62" s="211">
        <f>SUM(C63:C64)</f>
        <v>3399900</v>
      </c>
      <c r="D62" s="614">
        <f>SUM(D63:D64)</f>
        <v>3311149.01</v>
      </c>
      <c r="E62" s="211">
        <f t="shared" si="13"/>
        <v>55.243822847323024</v>
      </c>
      <c r="F62" s="211">
        <f t="shared" si="14"/>
        <v>97.389599988234949</v>
      </c>
      <c r="G62" s="211">
        <f>SUM(G63:G64)</f>
        <v>0.5</v>
      </c>
      <c r="H62" s="615">
        <f>SUM(H63:H64)</f>
        <v>3311149.51</v>
      </c>
      <c r="I62" s="211">
        <f t="shared" si="15"/>
        <v>55.243831189415552</v>
      </c>
      <c r="J62" s="211">
        <f t="shared" si="16"/>
        <v>97.389614694549834</v>
      </c>
      <c r="K62" s="614">
        <f>SUM(K63:K64)</f>
        <v>88750.989999999991</v>
      </c>
      <c r="L62" s="211">
        <f t="shared" si="17"/>
        <v>2.6104000117650514</v>
      </c>
      <c r="M62" s="615">
        <f>SUM(M63:M64)</f>
        <v>88750.489999999991</v>
      </c>
      <c r="N62" s="211">
        <f t="shared" si="18"/>
        <v>2.6103853054501602</v>
      </c>
      <c r="O62" s="211">
        <f>SUM(O63:O64)</f>
        <v>0</v>
      </c>
      <c r="P62" s="184"/>
    </row>
    <row r="63" spans="1:16" ht="21" customHeight="1" x14ac:dyDescent="0.3">
      <c r="A63" s="179" t="s">
        <v>44</v>
      </c>
      <c r="B63" s="213">
        <v>5147700</v>
      </c>
      <c r="C63" s="213">
        <f>SUM('GF ม.ค. 68'!G38)</f>
        <v>2956900</v>
      </c>
      <c r="D63" s="616">
        <f>SUM('GF ม.ค. 68'!H38)</f>
        <v>2888149.5</v>
      </c>
      <c r="E63" s="214">
        <f t="shared" si="13"/>
        <v>56.10562969870039</v>
      </c>
      <c r="F63" s="214">
        <f t="shared" si="14"/>
        <v>97.674912915553449</v>
      </c>
      <c r="G63" s="214">
        <f>SUM(H63-D63)</f>
        <v>0.5</v>
      </c>
      <c r="H63" s="617">
        <f>SUM('รวมใบกัน ม.ค. 68'!H38)</f>
        <v>2888150</v>
      </c>
      <c r="I63" s="214">
        <f t="shared" si="15"/>
        <v>56.105639411776131</v>
      </c>
      <c r="J63" s="214">
        <f t="shared" si="16"/>
        <v>97.67492982515472</v>
      </c>
      <c r="K63" s="616">
        <f>SUM(C63-D63)</f>
        <v>68750.5</v>
      </c>
      <c r="L63" s="214">
        <f t="shared" si="17"/>
        <v>2.3250870844465488</v>
      </c>
      <c r="M63" s="617">
        <f>SUM(C63-H63)</f>
        <v>68750</v>
      </c>
      <c r="N63" s="214">
        <f t="shared" si="18"/>
        <v>2.3250701748452771</v>
      </c>
      <c r="O63" s="618"/>
    </row>
    <row r="64" spans="1:16" ht="21" customHeight="1" x14ac:dyDescent="0.3">
      <c r="A64" s="179" t="s">
        <v>45</v>
      </c>
      <c r="B64" s="213">
        <v>846000</v>
      </c>
      <c r="C64" s="213">
        <f>SUM('GF ม.ค. 68'!G86)</f>
        <v>443000</v>
      </c>
      <c r="D64" s="616">
        <f>SUM('GF ม.ค. 68'!H86)</f>
        <v>422999.51</v>
      </c>
      <c r="E64" s="214">
        <f t="shared" si="13"/>
        <v>49.999942080378254</v>
      </c>
      <c r="F64" s="214">
        <f t="shared" si="14"/>
        <v>95.485216704288945</v>
      </c>
      <c r="G64" s="214">
        <f>SUM(H64-D64)</f>
        <v>0</v>
      </c>
      <c r="H64" s="617">
        <f>SUM('รวมใบกัน ม.ค. 68'!H86)</f>
        <v>422999.51</v>
      </c>
      <c r="I64" s="214">
        <f t="shared" si="15"/>
        <v>49.999942080378254</v>
      </c>
      <c r="J64" s="214">
        <f t="shared" si="16"/>
        <v>95.485216704288945</v>
      </c>
      <c r="K64" s="616">
        <f>SUM(C64-D64)</f>
        <v>20000.489999999991</v>
      </c>
      <c r="L64" s="214">
        <f t="shared" si="17"/>
        <v>4.5147832957110587</v>
      </c>
      <c r="M64" s="617">
        <f>SUM(C64-H64)</f>
        <v>20000.489999999991</v>
      </c>
      <c r="N64" s="214">
        <f t="shared" si="18"/>
        <v>4.5147832957110587</v>
      </c>
      <c r="O64" s="618"/>
    </row>
    <row r="65" spans="1:18" ht="21" customHeight="1" x14ac:dyDescent="0.3">
      <c r="A65" s="215" t="s">
        <v>30</v>
      </c>
      <c r="B65" s="211">
        <f>SUM(B66)</f>
        <v>0</v>
      </c>
      <c r="C65" s="211">
        <f>SUM(C66)</f>
        <v>0</v>
      </c>
      <c r="D65" s="614">
        <f>SUM(D66)</f>
        <v>0</v>
      </c>
      <c r="E65" s="211">
        <v>0</v>
      </c>
      <c r="F65" s="211">
        <v>0</v>
      </c>
      <c r="G65" s="211">
        <f>SUM(G66)</f>
        <v>0</v>
      </c>
      <c r="H65" s="615">
        <f>SUM(H66)</f>
        <v>0</v>
      </c>
      <c r="I65" s="211">
        <v>0</v>
      </c>
      <c r="J65" s="211">
        <v>0</v>
      </c>
      <c r="K65" s="614">
        <f>SUM(K66)</f>
        <v>0</v>
      </c>
      <c r="L65" s="211">
        <v>0</v>
      </c>
      <c r="M65" s="615">
        <f>SUM(M66)</f>
        <v>0</v>
      </c>
      <c r="N65" s="211">
        <v>0</v>
      </c>
      <c r="O65" s="211">
        <f>SUM(O66)</f>
        <v>0</v>
      </c>
      <c r="P65" s="184"/>
      <c r="Q65" s="580"/>
      <c r="R65" s="580"/>
    </row>
    <row r="66" spans="1:18" ht="21" customHeight="1" x14ac:dyDescent="0.3">
      <c r="A66" s="179" t="s">
        <v>46</v>
      </c>
      <c r="B66" s="213">
        <v>0</v>
      </c>
      <c r="C66" s="213">
        <f>SUM('GF ม.ค. 68'!G99)</f>
        <v>0</v>
      </c>
      <c r="D66" s="616">
        <f>SUM('GF ม.ค. 68'!H99)</f>
        <v>0</v>
      </c>
      <c r="E66" s="214">
        <v>0</v>
      </c>
      <c r="F66" s="214">
        <v>0</v>
      </c>
      <c r="G66" s="214">
        <f>SUM(H66-D66)</f>
        <v>0</v>
      </c>
      <c r="H66" s="617">
        <f>SUM('รวมใบกัน ม.ค. 68'!H99)</f>
        <v>0</v>
      </c>
      <c r="I66" s="214">
        <v>0</v>
      </c>
      <c r="J66" s="214">
        <v>0</v>
      </c>
      <c r="K66" s="616">
        <f>SUM(C66-D66)</f>
        <v>0</v>
      </c>
      <c r="L66" s="214">
        <v>0</v>
      </c>
      <c r="M66" s="617">
        <f>SUM(C66-H66)</f>
        <v>0</v>
      </c>
      <c r="N66" s="214">
        <v>0</v>
      </c>
      <c r="O66" s="618"/>
      <c r="Q66" s="562"/>
      <c r="R66" s="562"/>
    </row>
    <row r="67" spans="1:18" ht="21" customHeight="1" x14ac:dyDescent="0.3">
      <c r="A67" s="212" t="s">
        <v>52</v>
      </c>
      <c r="B67" s="214">
        <v>0</v>
      </c>
      <c r="C67" s="214">
        <f>SUM('GF ม.ค. 68'!G118)</f>
        <v>0</v>
      </c>
      <c r="D67" s="648">
        <f>SUM('GF ม.ค. 68'!H119)</f>
        <v>0</v>
      </c>
      <c r="E67" s="214">
        <v>0</v>
      </c>
      <c r="F67" s="214">
        <v>0</v>
      </c>
      <c r="G67" s="214">
        <f>SUM(H67-D67)</f>
        <v>0</v>
      </c>
      <c r="H67" s="649">
        <f>SUM('รวมใบกัน ม.ค. 68'!H118)</f>
        <v>0</v>
      </c>
      <c r="I67" s="214">
        <v>0</v>
      </c>
      <c r="J67" s="214">
        <v>0</v>
      </c>
      <c r="K67" s="648">
        <f>SUM(C67-D67)</f>
        <v>0</v>
      </c>
      <c r="L67" s="214">
        <v>0</v>
      </c>
      <c r="M67" s="649">
        <f>SUM(C67-H67)</f>
        <v>0</v>
      </c>
      <c r="N67" s="214">
        <v>0</v>
      </c>
      <c r="O67" s="650"/>
      <c r="Q67" s="562"/>
      <c r="R67" s="562" t="s">
        <v>59</v>
      </c>
    </row>
    <row r="68" spans="1:18" ht="21" customHeight="1" x14ac:dyDescent="0.3">
      <c r="A68" s="179"/>
      <c r="B68" s="651"/>
      <c r="C68" s="651"/>
      <c r="D68" s="652"/>
      <c r="E68" s="651"/>
      <c r="F68" s="651"/>
      <c r="G68" s="651"/>
      <c r="H68" s="653"/>
      <c r="I68" s="651"/>
      <c r="J68" s="651"/>
      <c r="K68" s="652"/>
      <c r="L68" s="651"/>
      <c r="M68" s="653"/>
      <c r="N68" s="651"/>
      <c r="O68" s="591"/>
      <c r="Q68" s="562"/>
      <c r="R68" s="562"/>
    </row>
    <row r="69" spans="1:18" ht="21" customHeight="1" x14ac:dyDescent="0.3">
      <c r="A69" s="216" t="s">
        <v>33</v>
      </c>
      <c r="B69" s="242">
        <f>SUM(B56+B59+B61)</f>
        <v>25777660</v>
      </c>
      <c r="C69" s="242">
        <f>SUM(C56+C59+C61)</f>
        <v>16872480</v>
      </c>
      <c r="D69" s="602">
        <f>SUM(D56+D59+D61)</f>
        <v>15799861.380000001</v>
      </c>
      <c r="E69" s="242">
        <f>SUM(D69/B69*100)</f>
        <v>61.292845743174517</v>
      </c>
      <c r="F69" s="242">
        <f>SUM(D69/C69*100)</f>
        <v>93.642792168074891</v>
      </c>
      <c r="G69" s="242">
        <f>SUM(G56+G59+G61)</f>
        <v>0.5</v>
      </c>
      <c r="H69" s="603">
        <f>SUM(H56+H59+H61)</f>
        <v>15799861.880000001</v>
      </c>
      <c r="I69" s="242">
        <f>SUM(H69/B69*100)</f>
        <v>61.292847682838556</v>
      </c>
      <c r="J69" s="242">
        <f>SUM(H69/C69*100)</f>
        <v>93.642795131480383</v>
      </c>
      <c r="K69" s="602">
        <f>SUM(K56+K59+K61)</f>
        <v>1072618.6199999994</v>
      </c>
      <c r="L69" s="242">
        <f>SUM(K69/C69*100)</f>
        <v>6.3572078319251197</v>
      </c>
      <c r="M69" s="603">
        <f>SUM(M56+M59+M61)</f>
        <v>1072618.1199999994</v>
      </c>
      <c r="N69" s="242">
        <f>SUM(M69/C69*100)</f>
        <v>6.357204868519621</v>
      </c>
      <c r="O69" s="242"/>
      <c r="P69" s="184"/>
      <c r="Q69" s="580"/>
      <c r="R69" s="580"/>
    </row>
    <row r="70" spans="1:18" ht="21" customHeight="1" x14ac:dyDescent="0.3">
      <c r="A70" s="624" t="s">
        <v>33</v>
      </c>
      <c r="B70" s="654"/>
      <c r="C70" s="655">
        <f>SUM(C69/B69)</f>
        <v>0.65453885263441292</v>
      </c>
      <c r="D70" s="656"/>
      <c r="E70" s="657">
        <f>SUM(D69/B69)</f>
        <v>0.61292845743174518</v>
      </c>
      <c r="F70" s="657">
        <f>SUM(D69/C69)</f>
        <v>0.93642792168074884</v>
      </c>
      <c r="G70" s="658"/>
      <c r="H70" s="659"/>
      <c r="I70" s="655">
        <f>SUM(H69/B69)</f>
        <v>0.61292847682838558</v>
      </c>
      <c r="J70" s="655">
        <f>SUM(H69/C69)</f>
        <v>0.93642795131480383</v>
      </c>
      <c r="K70" s="630"/>
      <c r="L70" s="222">
        <f>SUM(K69/C69)</f>
        <v>6.3572078319251199E-2</v>
      </c>
      <c r="M70" s="631"/>
      <c r="N70" s="222">
        <f>SUM(M69/C69)</f>
        <v>6.3572048685196211E-2</v>
      </c>
      <c r="O70" s="660"/>
      <c r="Q70" s="562"/>
      <c r="R70" s="562"/>
    </row>
    <row r="71" spans="1:18" ht="21" customHeight="1" x14ac:dyDescent="0.3">
      <c r="A71" s="633" t="s">
        <v>37</v>
      </c>
      <c r="B71" s="634"/>
      <c r="C71" s="635"/>
      <c r="D71" s="636"/>
      <c r="E71" s="635"/>
      <c r="F71" s="635"/>
      <c r="G71" s="635"/>
      <c r="H71" s="637"/>
      <c r="I71" s="635"/>
      <c r="J71" s="635"/>
      <c r="K71" s="638"/>
      <c r="L71" s="635"/>
      <c r="M71" s="639"/>
      <c r="N71" s="635"/>
      <c r="O71" s="640"/>
      <c r="Q71" s="562"/>
      <c r="R71" s="562"/>
    </row>
    <row r="72" spans="1:18" ht="21" customHeight="1" x14ac:dyDescent="0.3">
      <c r="A72" s="27" t="s">
        <v>1187</v>
      </c>
      <c r="B72" s="641"/>
      <c r="C72" s="642"/>
      <c r="D72" s="643"/>
      <c r="E72" s="642"/>
      <c r="F72" s="642"/>
      <c r="G72" s="642"/>
      <c r="H72" s="644"/>
      <c r="I72" s="642"/>
      <c r="J72" s="642"/>
      <c r="K72" s="645"/>
      <c r="L72" s="642"/>
      <c r="M72" s="646"/>
      <c r="N72" s="642"/>
      <c r="O72" s="647"/>
      <c r="Q72" s="562"/>
      <c r="R72" s="562"/>
    </row>
  </sheetData>
  <mergeCells count="6">
    <mergeCell ref="A1:O1"/>
    <mergeCell ref="A2:O2"/>
    <mergeCell ref="A3:A5"/>
    <mergeCell ref="D3:F3"/>
    <mergeCell ref="H3:J3"/>
    <mergeCell ref="K3:N3"/>
  </mergeCells>
  <printOptions horizontalCentered="1"/>
  <pageMargins left="0" right="0" top="0.74803149606299213" bottom="0.74803149606299213" header="0" footer="0"/>
  <pageSetup paperSize="9" scale="56" orientation="landscape" r:id="rId1"/>
  <headerFooter>
    <oddHeader>&amp;Rหน้าที่ &amp;P /  &amp;N</oddHeader>
  </headerFooter>
  <rowBreaks count="2" manualBreakCount="2">
    <brk id="25" max="15" man="1"/>
    <brk id="53" max="15" man="1"/>
  </rowBreaks>
  <colBreaks count="1" manualBreakCount="1">
    <brk id="16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241"/>
  <sheetViews>
    <sheetView workbookViewId="0">
      <pane xSplit="1" ySplit="4" topLeftCell="B47" activePane="bottomRight" state="frozen"/>
      <selection activeCell="E13" sqref="E13"/>
      <selection pane="topRight" activeCell="E13" sqref="E13"/>
      <selection pane="bottomLeft" activeCell="E13" sqref="E13"/>
      <selection pane="bottomRight" activeCell="D65" sqref="D65"/>
    </sheetView>
  </sheetViews>
  <sheetFormatPr defaultColWidth="14.42578125" defaultRowHeight="15" customHeight="1" x14ac:dyDescent="0.3"/>
  <cols>
    <col min="1" max="1" width="18" style="137" customWidth="1"/>
    <col min="2" max="2" width="17.28515625" style="137" customWidth="1"/>
    <col min="3" max="3" width="15" style="137" customWidth="1"/>
    <col min="4" max="4" width="15" style="963" customWidth="1"/>
    <col min="5" max="5" width="14.42578125" style="137"/>
    <col min="6" max="6" width="18" style="137" customWidth="1"/>
    <col min="7" max="7" width="14.5703125" style="137" customWidth="1"/>
    <col min="8" max="8" width="16.7109375" style="137" customWidth="1"/>
    <col min="9" max="9" width="16.28515625" style="137" customWidth="1"/>
    <col min="10" max="10" width="16.85546875" style="137" customWidth="1"/>
    <col min="11" max="11" width="18.7109375" style="137" customWidth="1"/>
    <col min="12" max="12" width="17.140625" style="137" customWidth="1"/>
    <col min="13" max="13" width="18" style="137" customWidth="1"/>
    <col min="14" max="27" width="8.7109375" style="137" customWidth="1"/>
    <col min="28" max="16384" width="14.42578125" style="137"/>
  </cols>
  <sheetData>
    <row r="1" spans="1:12" ht="18.75" customHeight="1" x14ac:dyDescent="0.3">
      <c r="A1" s="310" t="s">
        <v>771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</row>
    <row r="2" spans="1:12" ht="18.75" customHeight="1" x14ac:dyDescent="0.3">
      <c r="A2" s="322"/>
      <c r="B2" s="323" t="str">
        <f>'ใบกัน 450'!E2</f>
        <v>ค่าไฟฟ้า</v>
      </c>
      <c r="C2" s="323" t="str">
        <f>'ใบกัน 450'!F2</f>
        <v>ค่าโทรศัพท์เคลื่อนที่</v>
      </c>
      <c r="D2" s="323" t="str">
        <f>'ใบกัน 450'!G2</f>
        <v>ค่าโทรศัพท์สำนักงาน</v>
      </c>
      <c r="E2" s="323" t="str">
        <f>'ใบกัน 450'!H2</f>
        <v>ค่าไปรษณีย์</v>
      </c>
      <c r="F2" s="323" t="str">
        <f>'ใบกัน 450'!I2</f>
        <v>Reuter/ Refinitive
/ Bloomberg</v>
      </c>
      <c r="G2" s="323" t="str">
        <f>'ใบกัน 450'!J2</f>
        <v>ค่าเคเบิลทีวี</v>
      </c>
      <c r="H2" s="323" t="str">
        <f>'ใบกัน 450'!K2</f>
        <v>หมายเลขพิเศษ</v>
      </c>
      <c r="I2" s="323" t="str">
        <f>'ใบกัน 450'!L2</f>
        <v>ค่าINTERNET</v>
      </c>
      <c r="J2" s="323" t="str">
        <f>'ใบกัน 450'!M2</f>
        <v>ค่า CEIC</v>
      </c>
      <c r="K2" s="323" t="s">
        <v>208</v>
      </c>
      <c r="L2" s="323" t="s">
        <v>772</v>
      </c>
    </row>
    <row r="3" spans="1:12" ht="18.75" customHeight="1" x14ac:dyDescent="0.3">
      <c r="A3" s="309" t="s">
        <v>209</v>
      </c>
      <c r="B3" s="145">
        <v>0</v>
      </c>
      <c r="C3" s="145">
        <v>0</v>
      </c>
      <c r="D3" s="145">
        <v>0</v>
      </c>
      <c r="E3" s="145">
        <v>0</v>
      </c>
      <c r="F3" s="145">
        <v>0</v>
      </c>
      <c r="G3" s="145">
        <v>0</v>
      </c>
      <c r="H3" s="145">
        <v>0</v>
      </c>
      <c r="I3" s="145">
        <v>0</v>
      </c>
      <c r="J3" s="145">
        <v>0</v>
      </c>
      <c r="K3" s="145">
        <f>SUM(B3:J3)</f>
        <v>0</v>
      </c>
      <c r="L3" s="145"/>
    </row>
    <row r="4" spans="1:12" ht="18.75" customHeight="1" x14ac:dyDescent="0.3">
      <c r="A4" s="309" t="s">
        <v>210</v>
      </c>
      <c r="B4" s="145">
        <f>+'ใบกัน 450'!E4</f>
        <v>3019800</v>
      </c>
      <c r="C4" s="145">
        <f>+'ใบกัน 450'!F4</f>
        <v>119800</v>
      </c>
      <c r="D4" s="145">
        <f>+'ใบกัน 450'!G4</f>
        <v>40000</v>
      </c>
      <c r="E4" s="145">
        <f>+'ใบกัน 450'!H4</f>
        <v>225000</v>
      </c>
      <c r="F4" s="145">
        <f>+'ใบกัน 450'!I4</f>
        <v>1200000</v>
      </c>
      <c r="G4" s="145">
        <f>+'ใบกัน 450'!J4</f>
        <v>100000</v>
      </c>
      <c r="H4" s="145">
        <f>'ใบกัน 450'!K4</f>
        <v>164200</v>
      </c>
      <c r="I4" s="145">
        <f>'ใบกัน 450'!L4</f>
        <v>1495800</v>
      </c>
      <c r="J4" s="145">
        <f>+'ใบกัน 450'!M4</f>
        <v>1100000</v>
      </c>
      <c r="K4" s="145">
        <f>+'ใบกัน 450'!N4</f>
        <v>7464600</v>
      </c>
      <c r="L4" s="145"/>
    </row>
    <row r="5" spans="1:12" ht="18.75" customHeight="1" x14ac:dyDescent="0.3">
      <c r="A5" s="309" t="s">
        <v>211</v>
      </c>
      <c r="B5" s="296"/>
      <c r="C5" s="296"/>
      <c r="D5" s="296"/>
      <c r="E5" s="296"/>
      <c r="F5" s="296"/>
      <c r="G5" s="296"/>
      <c r="H5" s="296"/>
      <c r="I5" s="296"/>
      <c r="J5" s="296"/>
      <c r="K5" s="145"/>
      <c r="L5" s="136"/>
    </row>
    <row r="6" spans="1:12" ht="18.75" customHeight="1" x14ac:dyDescent="0.3">
      <c r="A6" s="277" t="s">
        <v>212</v>
      </c>
      <c r="B6" s="136"/>
      <c r="C6" s="136"/>
      <c r="D6" s="136"/>
      <c r="E6" s="136"/>
      <c r="F6" s="136"/>
      <c r="G6" s="136"/>
      <c r="H6" s="136"/>
      <c r="I6" s="136"/>
      <c r="J6" s="136"/>
      <c r="K6" s="145"/>
      <c r="L6" s="136"/>
    </row>
    <row r="7" spans="1:12" ht="18.75" customHeight="1" x14ac:dyDescent="0.3">
      <c r="A7" s="992">
        <v>45574</v>
      </c>
      <c r="B7" s="136"/>
      <c r="C7" s="136"/>
      <c r="D7" s="136"/>
      <c r="E7" s="136">
        <v>53763</v>
      </c>
      <c r="F7" s="136"/>
      <c r="G7" s="136"/>
      <c r="H7" s="136"/>
      <c r="I7" s="136"/>
      <c r="J7" s="136"/>
      <c r="K7" s="145">
        <f t="shared" ref="K7:K39" si="0">SUM(B7:J7)</f>
        <v>53763</v>
      </c>
      <c r="L7" s="272" t="s">
        <v>1444</v>
      </c>
    </row>
    <row r="8" spans="1:12" ht="18.75" customHeight="1" x14ac:dyDescent="0.3">
      <c r="A8" s="992">
        <v>45583</v>
      </c>
      <c r="B8" s="136"/>
      <c r="C8" s="136">
        <v>5997</v>
      </c>
      <c r="D8" s="136"/>
      <c r="E8" s="136"/>
      <c r="F8" s="136"/>
      <c r="G8" s="136"/>
      <c r="H8" s="136"/>
      <c r="I8" s="136"/>
      <c r="J8" s="136"/>
      <c r="K8" s="145">
        <f t="shared" si="0"/>
        <v>5997</v>
      </c>
      <c r="L8" s="272" t="s">
        <v>1461</v>
      </c>
    </row>
    <row r="9" spans="1:12" ht="18.75" customHeight="1" x14ac:dyDescent="0.3">
      <c r="A9" s="992">
        <v>45583</v>
      </c>
      <c r="B9" s="136"/>
      <c r="C9" s="136">
        <v>4751.87</v>
      </c>
      <c r="D9" s="136"/>
      <c r="E9" s="136"/>
      <c r="F9" s="136"/>
      <c r="G9" s="136"/>
      <c r="H9" s="136"/>
      <c r="I9" s="136"/>
      <c r="J9" s="136"/>
      <c r="K9" s="145">
        <f t="shared" si="0"/>
        <v>4751.87</v>
      </c>
      <c r="L9" s="272" t="s">
        <v>1463</v>
      </c>
    </row>
    <row r="10" spans="1:12" ht="18.75" customHeight="1" x14ac:dyDescent="0.3">
      <c r="A10" s="992">
        <v>45587</v>
      </c>
      <c r="B10" s="136"/>
      <c r="C10" s="136"/>
      <c r="D10" s="136"/>
      <c r="E10" s="136"/>
      <c r="F10" s="136"/>
      <c r="G10" s="136">
        <v>6609.66</v>
      </c>
      <c r="H10" s="136"/>
      <c r="I10" s="136"/>
      <c r="J10" s="136"/>
      <c r="K10" s="145">
        <f t="shared" si="0"/>
        <v>6609.66</v>
      </c>
      <c r="L10" s="272" t="s">
        <v>1445</v>
      </c>
    </row>
    <row r="11" spans="1:12" ht="18.75" customHeight="1" x14ac:dyDescent="0.3">
      <c r="A11" s="992">
        <v>45587</v>
      </c>
      <c r="B11" s="136">
        <v>479315.07</v>
      </c>
      <c r="C11" s="136"/>
      <c r="D11" s="136"/>
      <c r="E11" s="136"/>
      <c r="F11" s="136"/>
      <c r="G11" s="136"/>
      <c r="H11" s="136"/>
      <c r="I11" s="136"/>
      <c r="J11" s="136"/>
      <c r="K11" s="145">
        <f t="shared" si="0"/>
        <v>479315.07</v>
      </c>
      <c r="L11" s="272" t="s">
        <v>1446</v>
      </c>
    </row>
    <row r="12" spans="1:12" ht="18.75" customHeight="1" x14ac:dyDescent="0.3">
      <c r="A12" s="992">
        <v>45596</v>
      </c>
      <c r="B12" s="136"/>
      <c r="C12" s="136"/>
      <c r="D12" s="136">
        <v>23108.34</v>
      </c>
      <c r="E12" s="136"/>
      <c r="F12" s="136"/>
      <c r="G12" s="136"/>
      <c r="H12" s="136"/>
      <c r="I12" s="136"/>
      <c r="J12" s="136"/>
      <c r="K12" s="145">
        <f t="shared" si="0"/>
        <v>23108.34</v>
      </c>
      <c r="L12" s="272" t="s">
        <v>1465</v>
      </c>
    </row>
    <row r="13" spans="1:12" ht="18.75" customHeight="1" x14ac:dyDescent="0.3">
      <c r="A13" s="992">
        <v>45596</v>
      </c>
      <c r="B13" s="136"/>
      <c r="C13" s="136"/>
      <c r="D13" s="136">
        <v>3771.75</v>
      </c>
      <c r="E13" s="136"/>
      <c r="F13" s="136"/>
      <c r="G13" s="136"/>
      <c r="H13" s="136"/>
      <c r="I13" s="136"/>
      <c r="J13" s="136"/>
      <c r="K13" s="145">
        <f t="shared" si="0"/>
        <v>3771.75</v>
      </c>
      <c r="L13" s="272" t="s">
        <v>1466</v>
      </c>
    </row>
    <row r="14" spans="1:12" ht="18.75" customHeight="1" x14ac:dyDescent="0.3">
      <c r="A14" s="278"/>
      <c r="B14" s="136"/>
      <c r="C14" s="136"/>
      <c r="D14" s="136"/>
      <c r="E14" s="136"/>
      <c r="F14" s="136"/>
      <c r="G14" s="136"/>
      <c r="H14" s="136"/>
      <c r="I14" s="136"/>
      <c r="J14" s="136"/>
      <c r="K14" s="145">
        <f t="shared" si="0"/>
        <v>0</v>
      </c>
      <c r="L14" s="272"/>
    </row>
    <row r="15" spans="1:12" ht="18.75" customHeight="1" x14ac:dyDescent="0.3">
      <c r="A15" s="278"/>
      <c r="B15" s="136"/>
      <c r="C15" s="136"/>
      <c r="D15" s="136"/>
      <c r="E15" s="136"/>
      <c r="F15" s="136"/>
      <c r="G15" s="136"/>
      <c r="H15" s="136"/>
      <c r="I15" s="136"/>
      <c r="J15" s="136"/>
      <c r="K15" s="145">
        <f t="shared" si="0"/>
        <v>0</v>
      </c>
      <c r="L15" s="272"/>
    </row>
    <row r="16" spans="1:12" ht="18.75" customHeight="1" x14ac:dyDescent="0.3">
      <c r="A16" s="278"/>
      <c r="B16" s="136"/>
      <c r="C16" s="136"/>
      <c r="D16" s="136"/>
      <c r="E16" s="136"/>
      <c r="F16" s="136"/>
      <c r="G16" s="136"/>
      <c r="H16" s="136"/>
      <c r="I16" s="136"/>
      <c r="J16" s="136"/>
      <c r="K16" s="145">
        <f t="shared" si="0"/>
        <v>0</v>
      </c>
      <c r="L16" s="136"/>
    </row>
    <row r="17" spans="1:12" ht="18.75" customHeight="1" x14ac:dyDescent="0.3">
      <c r="A17" s="278"/>
      <c r="B17" s="136"/>
      <c r="C17" s="136"/>
      <c r="D17" s="136"/>
      <c r="E17" s="136"/>
      <c r="F17" s="136"/>
      <c r="G17" s="136"/>
      <c r="H17" s="136"/>
      <c r="I17" s="136"/>
      <c r="J17" s="136"/>
      <c r="K17" s="145">
        <f t="shared" si="0"/>
        <v>0</v>
      </c>
      <c r="L17" s="136"/>
    </row>
    <row r="18" spans="1:12" ht="18.75" customHeight="1" x14ac:dyDescent="0.3">
      <c r="A18" s="278"/>
      <c r="B18" s="136"/>
      <c r="C18" s="136"/>
      <c r="D18" s="136"/>
      <c r="E18" s="136"/>
      <c r="F18" s="136"/>
      <c r="G18" s="136"/>
      <c r="H18" s="136"/>
      <c r="I18" s="136"/>
      <c r="J18" s="136"/>
      <c r="K18" s="145">
        <f t="shared" si="0"/>
        <v>0</v>
      </c>
      <c r="L18" s="136"/>
    </row>
    <row r="19" spans="1:12" ht="18.75" customHeight="1" x14ac:dyDescent="0.3">
      <c r="A19" s="311" t="s">
        <v>213</v>
      </c>
      <c r="B19" s="279">
        <f t="shared" ref="B19:J19" si="1">SUM(B6:B18)</f>
        <v>479315.07</v>
      </c>
      <c r="C19" s="279">
        <f t="shared" si="1"/>
        <v>10748.869999999999</v>
      </c>
      <c r="D19" s="279">
        <f t="shared" ref="D19" si="2">SUM(D6:D18)</f>
        <v>26880.09</v>
      </c>
      <c r="E19" s="279">
        <f t="shared" si="1"/>
        <v>53763</v>
      </c>
      <c r="F19" s="279">
        <f t="shared" si="1"/>
        <v>0</v>
      </c>
      <c r="G19" s="279">
        <f t="shared" si="1"/>
        <v>6609.66</v>
      </c>
      <c r="H19" s="279">
        <f t="shared" si="1"/>
        <v>0</v>
      </c>
      <c r="I19" s="279">
        <f t="shared" si="1"/>
        <v>0</v>
      </c>
      <c r="J19" s="279">
        <f t="shared" si="1"/>
        <v>0</v>
      </c>
      <c r="K19" s="280">
        <f t="shared" si="0"/>
        <v>577316.69000000006</v>
      </c>
      <c r="L19" s="195"/>
    </row>
    <row r="20" spans="1:12" ht="18.75" customHeight="1" x14ac:dyDescent="0.3">
      <c r="A20" s="311" t="s">
        <v>341</v>
      </c>
      <c r="B20" s="279">
        <f t="shared" ref="B20:J20" si="3">SUM(B3+B19)</f>
        <v>479315.07</v>
      </c>
      <c r="C20" s="279">
        <f t="shared" si="3"/>
        <v>10748.869999999999</v>
      </c>
      <c r="D20" s="279">
        <f t="shared" ref="D20" si="4">SUM(D3+D19)</f>
        <v>26880.09</v>
      </c>
      <c r="E20" s="279">
        <f t="shared" si="3"/>
        <v>53763</v>
      </c>
      <c r="F20" s="279">
        <f t="shared" si="3"/>
        <v>0</v>
      </c>
      <c r="G20" s="279">
        <f t="shared" si="3"/>
        <v>6609.66</v>
      </c>
      <c r="H20" s="279">
        <f t="shared" si="3"/>
        <v>0</v>
      </c>
      <c r="I20" s="279">
        <f t="shared" si="3"/>
        <v>0</v>
      </c>
      <c r="J20" s="279">
        <f t="shared" si="3"/>
        <v>0</v>
      </c>
      <c r="K20" s="280">
        <f t="shared" si="0"/>
        <v>577316.69000000006</v>
      </c>
      <c r="L20" s="195"/>
    </row>
    <row r="21" spans="1:12" ht="18.75" customHeight="1" x14ac:dyDescent="0.3">
      <c r="A21" s="311" t="s">
        <v>210</v>
      </c>
      <c r="B21" s="279">
        <f t="shared" ref="B21:J21" si="5">SUM(B4-B19)</f>
        <v>2540484.9300000002</v>
      </c>
      <c r="C21" s="279">
        <f t="shared" si="5"/>
        <v>109051.13</v>
      </c>
      <c r="D21" s="279">
        <f t="shared" ref="D21" si="6">SUM(D4-D19)</f>
        <v>13119.91</v>
      </c>
      <c r="E21" s="279">
        <f t="shared" si="5"/>
        <v>171237</v>
      </c>
      <c r="F21" s="279">
        <f t="shared" si="5"/>
        <v>1200000</v>
      </c>
      <c r="G21" s="279">
        <f t="shared" si="5"/>
        <v>93390.34</v>
      </c>
      <c r="H21" s="279">
        <f t="shared" si="5"/>
        <v>164200</v>
      </c>
      <c r="I21" s="279">
        <f t="shared" si="5"/>
        <v>1495800</v>
      </c>
      <c r="J21" s="279">
        <f t="shared" si="5"/>
        <v>1100000</v>
      </c>
      <c r="K21" s="280">
        <f t="shared" si="0"/>
        <v>6887283.3100000005</v>
      </c>
      <c r="L21" s="195"/>
    </row>
    <row r="22" spans="1:12" ht="18.75" customHeight="1" x14ac:dyDescent="0.3">
      <c r="A22" s="277" t="s">
        <v>216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45">
        <f t="shared" si="0"/>
        <v>0</v>
      </c>
      <c r="L22" s="272"/>
    </row>
    <row r="23" spans="1:12" ht="18.75" customHeight="1" x14ac:dyDescent="0.3">
      <c r="A23" s="278">
        <v>243935</v>
      </c>
      <c r="B23" s="136"/>
      <c r="C23" s="136">
        <v>52128.52</v>
      </c>
      <c r="D23" s="136"/>
      <c r="E23" s="136"/>
      <c r="F23" s="136"/>
      <c r="G23" s="136"/>
      <c r="H23" s="136"/>
      <c r="I23" s="136"/>
      <c r="J23" s="136"/>
      <c r="K23" s="145">
        <f t="shared" si="0"/>
        <v>52128.52</v>
      </c>
      <c r="L23" s="272"/>
    </row>
    <row r="24" spans="1:12" ht="18.75" customHeight="1" x14ac:dyDescent="0.3">
      <c r="A24" s="278">
        <v>243937</v>
      </c>
      <c r="B24" s="136"/>
      <c r="C24" s="136"/>
      <c r="D24" s="136"/>
      <c r="E24" s="136">
        <v>15877</v>
      </c>
      <c r="F24" s="136"/>
      <c r="G24" s="136"/>
      <c r="H24" s="136"/>
      <c r="I24" s="136"/>
      <c r="J24" s="136"/>
      <c r="K24" s="145">
        <f t="shared" si="0"/>
        <v>15877</v>
      </c>
      <c r="L24" s="272"/>
    </row>
    <row r="25" spans="1:12" ht="18.75" customHeight="1" x14ac:dyDescent="0.3">
      <c r="A25" s="278">
        <v>243941</v>
      </c>
      <c r="B25" s="136"/>
      <c r="C25" s="136"/>
      <c r="D25" s="136"/>
      <c r="E25" s="136"/>
      <c r="F25" s="136"/>
      <c r="G25" s="136">
        <v>6609.66</v>
      </c>
      <c r="H25" s="136"/>
      <c r="I25" s="136"/>
      <c r="J25" s="136"/>
      <c r="K25" s="145">
        <f t="shared" si="0"/>
        <v>6609.66</v>
      </c>
      <c r="L25" s="272"/>
    </row>
    <row r="26" spans="1:12" ht="18.75" customHeight="1" x14ac:dyDescent="0.3">
      <c r="A26" s="278">
        <v>243943</v>
      </c>
      <c r="B26" s="136"/>
      <c r="C26" s="136">
        <v>5997</v>
      </c>
      <c r="D26" s="136"/>
      <c r="E26" s="136"/>
      <c r="F26" s="136"/>
      <c r="G26" s="136"/>
      <c r="H26" s="136"/>
      <c r="I26" s="136"/>
      <c r="J26" s="136"/>
      <c r="K26" s="145">
        <f t="shared" si="0"/>
        <v>5997</v>
      </c>
      <c r="L26" s="272"/>
    </row>
    <row r="27" spans="1:12" ht="18.75" customHeight="1" x14ac:dyDescent="0.3">
      <c r="A27" s="278">
        <v>243943</v>
      </c>
      <c r="B27" s="136"/>
      <c r="C27" s="136">
        <v>4751.87</v>
      </c>
      <c r="D27" s="136"/>
      <c r="E27" s="136"/>
      <c r="F27" s="136"/>
      <c r="G27" s="136"/>
      <c r="H27" s="136"/>
      <c r="I27" s="136"/>
      <c r="J27" s="136"/>
      <c r="K27" s="145">
        <f t="shared" si="0"/>
        <v>4751.87</v>
      </c>
      <c r="L27" s="272"/>
    </row>
    <row r="28" spans="1:12" ht="18.75" customHeight="1" x14ac:dyDescent="0.3">
      <c r="A28" s="278">
        <v>243943</v>
      </c>
      <c r="B28" s="136">
        <v>490659.77</v>
      </c>
      <c r="C28" s="136"/>
      <c r="D28" s="136"/>
      <c r="E28" s="136"/>
      <c r="F28" s="136"/>
      <c r="G28" s="136"/>
      <c r="H28" s="136"/>
      <c r="I28" s="136"/>
      <c r="J28" s="136"/>
      <c r="K28" s="145">
        <f t="shared" si="0"/>
        <v>490659.77</v>
      </c>
      <c r="L28" s="272"/>
    </row>
    <row r="29" spans="1:12" ht="18.75" customHeight="1" x14ac:dyDescent="0.3">
      <c r="A29" s="278"/>
      <c r="B29" s="136"/>
      <c r="C29" s="136"/>
      <c r="D29" s="136"/>
      <c r="E29" s="136"/>
      <c r="F29" s="136"/>
      <c r="G29" s="136"/>
      <c r="H29" s="136"/>
      <c r="I29" s="136"/>
      <c r="J29" s="136"/>
      <c r="K29" s="145">
        <f t="shared" si="0"/>
        <v>0</v>
      </c>
      <c r="L29" s="272"/>
    </row>
    <row r="30" spans="1:12" ht="18.75" customHeight="1" x14ac:dyDescent="0.3">
      <c r="A30" s="278"/>
      <c r="B30" s="136"/>
      <c r="C30" s="136"/>
      <c r="D30" s="136"/>
      <c r="E30" s="136"/>
      <c r="F30" s="136"/>
      <c r="G30" s="136"/>
      <c r="H30" s="136"/>
      <c r="I30" s="136"/>
      <c r="J30" s="136"/>
      <c r="K30" s="145">
        <f t="shared" si="0"/>
        <v>0</v>
      </c>
      <c r="L30" s="325"/>
    </row>
    <row r="31" spans="1:12" ht="18.75" customHeight="1" x14ac:dyDescent="0.3">
      <c r="A31" s="278"/>
      <c r="B31" s="136"/>
      <c r="C31" s="136"/>
      <c r="D31" s="136"/>
      <c r="E31" s="136"/>
      <c r="F31" s="136"/>
      <c r="G31" s="136"/>
      <c r="H31" s="136"/>
      <c r="I31" s="136"/>
      <c r="J31" s="136"/>
      <c r="K31" s="145">
        <f t="shared" si="0"/>
        <v>0</v>
      </c>
      <c r="L31" s="272"/>
    </row>
    <row r="32" spans="1:12" ht="18.75" customHeight="1" x14ac:dyDescent="0.3">
      <c r="A32" s="278"/>
      <c r="B32" s="136"/>
      <c r="C32" s="136"/>
      <c r="D32" s="136"/>
      <c r="E32" s="136"/>
      <c r="F32" s="136"/>
      <c r="G32" s="136"/>
      <c r="H32" s="136"/>
      <c r="I32" s="136"/>
      <c r="J32" s="136"/>
      <c r="K32" s="145">
        <f t="shared" si="0"/>
        <v>0</v>
      </c>
      <c r="L32" s="272"/>
    </row>
    <row r="33" spans="1:13" ht="18.75" customHeight="1" x14ac:dyDescent="0.3">
      <c r="A33" s="278"/>
      <c r="B33" s="136"/>
      <c r="C33" s="136"/>
      <c r="D33" s="136"/>
      <c r="E33" s="136"/>
      <c r="F33" s="136"/>
      <c r="G33" s="136"/>
      <c r="H33" s="136"/>
      <c r="I33" s="136"/>
      <c r="J33" s="136"/>
      <c r="K33" s="145">
        <f t="shared" si="0"/>
        <v>0</v>
      </c>
      <c r="L33" s="272"/>
    </row>
    <row r="34" spans="1:13" ht="18.75" customHeight="1" x14ac:dyDescent="0.3">
      <c r="A34" s="311" t="s">
        <v>217</v>
      </c>
      <c r="B34" s="279">
        <f t="shared" ref="B34:J34" si="7">SUM(B22:B33)</f>
        <v>490659.77</v>
      </c>
      <c r="C34" s="279">
        <f t="shared" si="7"/>
        <v>62877.39</v>
      </c>
      <c r="D34" s="279">
        <f t="shared" ref="D34" si="8">SUM(D22:D33)</f>
        <v>0</v>
      </c>
      <c r="E34" s="279">
        <f t="shared" si="7"/>
        <v>15877</v>
      </c>
      <c r="F34" s="279">
        <f t="shared" si="7"/>
        <v>0</v>
      </c>
      <c r="G34" s="279">
        <f t="shared" si="7"/>
        <v>6609.66</v>
      </c>
      <c r="H34" s="279">
        <f t="shared" si="7"/>
        <v>0</v>
      </c>
      <c r="I34" s="279">
        <f t="shared" si="7"/>
        <v>0</v>
      </c>
      <c r="J34" s="279">
        <f t="shared" si="7"/>
        <v>0</v>
      </c>
      <c r="K34" s="280">
        <f t="shared" si="0"/>
        <v>576023.82000000007</v>
      </c>
      <c r="L34" s="195"/>
    </row>
    <row r="35" spans="1:13" ht="18.75" customHeight="1" x14ac:dyDescent="0.3">
      <c r="A35" s="311" t="s">
        <v>218</v>
      </c>
      <c r="B35" s="279">
        <f t="shared" ref="B35:J35" si="9">SUM(B20+B34)</f>
        <v>969974.84000000008</v>
      </c>
      <c r="C35" s="279">
        <f t="shared" si="9"/>
        <v>73626.259999999995</v>
      </c>
      <c r="D35" s="279">
        <f t="shared" ref="D35" si="10">SUM(D20+D34)</f>
        <v>26880.09</v>
      </c>
      <c r="E35" s="279">
        <f t="shared" si="9"/>
        <v>69640</v>
      </c>
      <c r="F35" s="279">
        <f t="shared" si="9"/>
        <v>0</v>
      </c>
      <c r="G35" s="279">
        <f t="shared" si="9"/>
        <v>13219.32</v>
      </c>
      <c r="H35" s="279">
        <f t="shared" si="9"/>
        <v>0</v>
      </c>
      <c r="I35" s="279">
        <f t="shared" si="9"/>
        <v>0</v>
      </c>
      <c r="J35" s="279">
        <f t="shared" si="9"/>
        <v>0</v>
      </c>
      <c r="K35" s="280">
        <f t="shared" si="0"/>
        <v>1153340.5100000002</v>
      </c>
      <c r="L35" s="195"/>
    </row>
    <row r="36" spans="1:13" ht="18.75" customHeight="1" x14ac:dyDescent="0.3">
      <c r="A36" s="311" t="s">
        <v>219</v>
      </c>
      <c r="B36" s="279">
        <f t="shared" ref="B36:J36" si="11">SUM(B21-B34)</f>
        <v>2049825.1600000001</v>
      </c>
      <c r="C36" s="279">
        <f t="shared" si="11"/>
        <v>46173.740000000005</v>
      </c>
      <c r="D36" s="279">
        <f t="shared" ref="D36" si="12">SUM(D21-D34)</f>
        <v>13119.91</v>
      </c>
      <c r="E36" s="279">
        <f t="shared" si="11"/>
        <v>155360</v>
      </c>
      <c r="F36" s="279">
        <f t="shared" si="11"/>
        <v>1200000</v>
      </c>
      <c r="G36" s="279">
        <f t="shared" si="11"/>
        <v>86780.68</v>
      </c>
      <c r="H36" s="279">
        <f t="shared" si="11"/>
        <v>164200</v>
      </c>
      <c r="I36" s="279">
        <f t="shared" si="11"/>
        <v>1495800</v>
      </c>
      <c r="J36" s="279">
        <f t="shared" si="11"/>
        <v>1100000</v>
      </c>
      <c r="K36" s="280">
        <f t="shared" si="0"/>
        <v>6311259.4900000002</v>
      </c>
      <c r="L36" s="195"/>
      <c r="M36" s="978"/>
    </row>
    <row r="37" spans="1:13" ht="18.75" customHeight="1" x14ac:dyDescent="0.3">
      <c r="A37" s="277" t="s">
        <v>220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45">
        <f t="shared" si="0"/>
        <v>0</v>
      </c>
      <c r="L37" s="136"/>
    </row>
    <row r="38" spans="1:13" ht="18.75" customHeight="1" x14ac:dyDescent="0.3">
      <c r="A38" s="278">
        <v>243955</v>
      </c>
      <c r="B38" s="136"/>
      <c r="C38" s="136"/>
      <c r="D38" s="136">
        <v>3792.08</v>
      </c>
      <c r="E38" s="136"/>
      <c r="F38" s="136"/>
      <c r="G38" s="136"/>
      <c r="H38" s="136"/>
      <c r="I38" s="136"/>
      <c r="J38" s="136"/>
      <c r="K38" s="145">
        <f t="shared" si="0"/>
        <v>3792.08</v>
      </c>
      <c r="L38" s="272"/>
    </row>
    <row r="39" spans="1:13" s="997" customFormat="1" ht="18.75" customHeight="1" x14ac:dyDescent="0.3">
      <c r="A39" s="278">
        <v>243955</v>
      </c>
      <c r="B39" s="136"/>
      <c r="D39" s="136">
        <v>23412.400000000001</v>
      </c>
      <c r="E39" s="136"/>
      <c r="F39" s="136"/>
      <c r="G39" s="136"/>
      <c r="H39" s="136"/>
      <c r="I39" s="136"/>
      <c r="J39" s="136"/>
      <c r="K39" s="145">
        <f t="shared" si="0"/>
        <v>23412.400000000001</v>
      </c>
      <c r="L39" s="272"/>
    </row>
    <row r="40" spans="1:13" ht="18.75" customHeight="1" x14ac:dyDescent="0.3">
      <c r="A40" s="278">
        <v>243963</v>
      </c>
      <c r="B40" s="136"/>
      <c r="C40" s="136">
        <v>52918.61</v>
      </c>
      <c r="D40" s="136"/>
      <c r="E40" s="136"/>
      <c r="F40" s="136"/>
      <c r="G40" s="136"/>
      <c r="H40" s="136"/>
      <c r="I40" s="136"/>
      <c r="J40" s="136"/>
      <c r="K40" s="145">
        <f t="shared" ref="K40:K71" si="13">SUM(B40:J40)</f>
        <v>52918.61</v>
      </c>
      <c r="L40" s="272"/>
    </row>
    <row r="41" spans="1:13" ht="18.75" customHeight="1" x14ac:dyDescent="0.3">
      <c r="A41" s="278">
        <v>243968</v>
      </c>
      <c r="B41" s="136"/>
      <c r="C41" s="136"/>
      <c r="D41" s="136"/>
      <c r="E41" s="136">
        <v>13456</v>
      </c>
      <c r="F41" s="136"/>
      <c r="G41" s="136"/>
      <c r="H41" s="136"/>
      <c r="I41" s="136"/>
      <c r="J41" s="136"/>
      <c r="K41" s="145">
        <f t="shared" si="13"/>
        <v>13456</v>
      </c>
      <c r="L41" s="272"/>
    </row>
    <row r="42" spans="1:13" ht="18.75" customHeight="1" x14ac:dyDescent="0.3">
      <c r="A42" s="278">
        <v>243969</v>
      </c>
      <c r="B42" s="136"/>
      <c r="C42" s="136">
        <v>5998</v>
      </c>
      <c r="D42" s="136"/>
      <c r="E42" s="136"/>
      <c r="F42" s="136"/>
      <c r="G42" s="136"/>
      <c r="H42" s="136"/>
      <c r="I42" s="136"/>
      <c r="J42" s="136"/>
      <c r="K42" s="145">
        <f t="shared" si="13"/>
        <v>5998</v>
      </c>
      <c r="L42" s="272"/>
    </row>
    <row r="43" spans="1:13" ht="18.75" customHeight="1" x14ac:dyDescent="0.3">
      <c r="A43" s="278">
        <v>243969</v>
      </c>
      <c r="B43" s="136"/>
      <c r="C43" s="136">
        <v>4751.87</v>
      </c>
      <c r="D43" s="136"/>
      <c r="E43" s="136"/>
      <c r="F43" s="136"/>
      <c r="G43" s="136"/>
      <c r="H43" s="136"/>
      <c r="I43" s="136"/>
      <c r="J43" s="136"/>
      <c r="K43" s="145">
        <f t="shared" si="13"/>
        <v>4751.87</v>
      </c>
      <c r="L43" s="272"/>
    </row>
    <row r="44" spans="1:13" ht="18.75" customHeight="1" x14ac:dyDescent="0.3">
      <c r="A44" s="278">
        <v>243977</v>
      </c>
      <c r="B44" s="136"/>
      <c r="C44" s="136"/>
      <c r="D44" s="136"/>
      <c r="E44" s="136"/>
      <c r="F44" s="136"/>
      <c r="G44" s="136">
        <v>6609.66</v>
      </c>
      <c r="H44" s="136"/>
      <c r="I44" s="136"/>
      <c r="J44" s="136"/>
      <c r="K44" s="145">
        <f t="shared" si="13"/>
        <v>6609.66</v>
      </c>
      <c r="L44" s="272"/>
    </row>
    <row r="45" spans="1:13" ht="18.75" customHeight="1" x14ac:dyDescent="0.3">
      <c r="A45" s="278">
        <v>243977</v>
      </c>
      <c r="B45" s="136">
        <v>474629.22</v>
      </c>
      <c r="C45" s="136"/>
      <c r="D45" s="136"/>
      <c r="E45" s="136"/>
      <c r="F45" s="136"/>
      <c r="G45" s="136"/>
      <c r="H45" s="136"/>
      <c r="I45" s="136"/>
      <c r="J45" s="136"/>
      <c r="K45" s="145">
        <f t="shared" si="13"/>
        <v>474629.22</v>
      </c>
      <c r="L45" s="272"/>
    </row>
    <row r="46" spans="1:13" ht="18.75" customHeight="1" x14ac:dyDescent="0.3">
      <c r="A46" s="278">
        <v>243977</v>
      </c>
      <c r="B46" s="136">
        <v>47475.63</v>
      </c>
      <c r="C46" s="136"/>
      <c r="D46" s="136"/>
      <c r="E46" s="136"/>
      <c r="F46" s="136"/>
      <c r="G46" s="136"/>
      <c r="H46" s="136"/>
      <c r="I46" s="136"/>
      <c r="J46" s="136"/>
      <c r="K46" s="145">
        <f t="shared" si="13"/>
        <v>47475.63</v>
      </c>
      <c r="L46" s="272"/>
    </row>
    <row r="47" spans="1:13" ht="18.75" customHeight="1" x14ac:dyDescent="0.3">
      <c r="A47" s="278">
        <v>243963</v>
      </c>
      <c r="B47" s="136"/>
      <c r="C47" s="136"/>
      <c r="D47" s="136"/>
      <c r="E47" s="136"/>
      <c r="F47" s="136"/>
      <c r="G47" s="136"/>
      <c r="H47" s="136"/>
      <c r="I47" s="136"/>
      <c r="J47" s="136"/>
      <c r="K47" s="145">
        <f t="shared" si="13"/>
        <v>0</v>
      </c>
      <c r="L47" s="272"/>
    </row>
    <row r="48" spans="1:13" ht="18.75" customHeight="1" x14ac:dyDescent="0.3">
      <c r="A48" s="278"/>
      <c r="B48" s="136"/>
      <c r="C48" s="136"/>
      <c r="D48" s="136"/>
      <c r="E48" s="136"/>
      <c r="F48" s="136"/>
      <c r="G48" s="136"/>
      <c r="H48" s="136"/>
      <c r="I48" s="136"/>
      <c r="J48" s="136"/>
      <c r="K48" s="145">
        <f t="shared" si="13"/>
        <v>0</v>
      </c>
      <c r="L48" s="272"/>
    </row>
    <row r="49" spans="1:12" ht="18.75" customHeight="1" x14ac:dyDescent="0.3">
      <c r="A49" s="278"/>
      <c r="B49" s="136"/>
      <c r="C49" s="136"/>
      <c r="D49" s="136"/>
      <c r="E49" s="136"/>
      <c r="F49" s="136"/>
      <c r="G49" s="136"/>
      <c r="H49" s="136"/>
      <c r="I49" s="136"/>
      <c r="J49" s="136"/>
      <c r="K49" s="145">
        <f t="shared" si="13"/>
        <v>0</v>
      </c>
      <c r="L49" s="272"/>
    </row>
    <row r="50" spans="1:12" ht="18.75" customHeight="1" x14ac:dyDescent="0.3">
      <c r="A50" s="311" t="s">
        <v>221</v>
      </c>
      <c r="B50" s="279">
        <f t="shared" ref="B50:J50" si="14">SUM(B37:B49)</f>
        <v>522104.85</v>
      </c>
      <c r="C50" s="279">
        <f t="shared" si="14"/>
        <v>63668.480000000003</v>
      </c>
      <c r="D50" s="279">
        <f>SUM(D37:D49)</f>
        <v>27204.480000000003</v>
      </c>
      <c r="E50" s="279">
        <f t="shared" si="14"/>
        <v>13456</v>
      </c>
      <c r="F50" s="279">
        <f t="shared" si="14"/>
        <v>0</v>
      </c>
      <c r="G50" s="279">
        <f t="shared" si="14"/>
        <v>6609.66</v>
      </c>
      <c r="H50" s="279">
        <f t="shared" si="14"/>
        <v>0</v>
      </c>
      <c r="I50" s="279">
        <f t="shared" si="14"/>
        <v>0</v>
      </c>
      <c r="J50" s="279">
        <f t="shared" si="14"/>
        <v>0</v>
      </c>
      <c r="K50" s="280">
        <f t="shared" si="13"/>
        <v>633043.47</v>
      </c>
      <c r="L50" s="195"/>
    </row>
    <row r="51" spans="1:12" ht="18.75" customHeight="1" x14ac:dyDescent="0.3">
      <c r="A51" s="311" t="s">
        <v>222</v>
      </c>
      <c r="B51" s="279">
        <f t="shared" ref="B51:J51" si="15">SUM(B35+B50)</f>
        <v>1492079.69</v>
      </c>
      <c r="C51" s="279">
        <f t="shared" si="15"/>
        <v>137294.74</v>
      </c>
      <c r="D51" s="279">
        <f>SUM(D35+D50)</f>
        <v>54084.570000000007</v>
      </c>
      <c r="E51" s="279">
        <f t="shared" si="15"/>
        <v>83096</v>
      </c>
      <c r="F51" s="279">
        <f t="shared" si="15"/>
        <v>0</v>
      </c>
      <c r="G51" s="279">
        <f t="shared" si="15"/>
        <v>19828.98</v>
      </c>
      <c r="H51" s="279">
        <f t="shared" si="15"/>
        <v>0</v>
      </c>
      <c r="I51" s="279">
        <f t="shared" si="15"/>
        <v>0</v>
      </c>
      <c r="J51" s="279">
        <f t="shared" si="15"/>
        <v>0</v>
      </c>
      <c r="K51" s="280">
        <f>SUM(B51:J51)</f>
        <v>1786383.98</v>
      </c>
      <c r="L51" s="195"/>
    </row>
    <row r="52" spans="1:12" ht="18.75" customHeight="1" x14ac:dyDescent="0.3">
      <c r="A52" s="311" t="s">
        <v>223</v>
      </c>
      <c r="B52" s="279">
        <f t="shared" ref="B52:J52" si="16">SUM(B36-B50)</f>
        <v>1527720.31</v>
      </c>
      <c r="C52" s="279">
        <f t="shared" si="16"/>
        <v>-17494.739999999998</v>
      </c>
      <c r="D52" s="279">
        <f t="shared" ref="D52" si="17">SUM(D36-D50)</f>
        <v>-14084.570000000003</v>
      </c>
      <c r="E52" s="279">
        <f t="shared" si="16"/>
        <v>141904</v>
      </c>
      <c r="F52" s="279">
        <f t="shared" si="16"/>
        <v>1200000</v>
      </c>
      <c r="G52" s="279">
        <f t="shared" si="16"/>
        <v>80171.01999999999</v>
      </c>
      <c r="H52" s="279">
        <f t="shared" si="16"/>
        <v>164200</v>
      </c>
      <c r="I52" s="279">
        <f t="shared" si="16"/>
        <v>1495800</v>
      </c>
      <c r="J52" s="279">
        <f t="shared" si="16"/>
        <v>1100000</v>
      </c>
      <c r="K52" s="280">
        <f t="shared" si="13"/>
        <v>5678216.0199999996</v>
      </c>
      <c r="L52" s="195"/>
    </row>
    <row r="53" spans="1:12" ht="18.75" customHeight="1" x14ac:dyDescent="0.3">
      <c r="A53" s="277" t="s">
        <v>224</v>
      </c>
      <c r="B53" s="136"/>
      <c r="C53" s="136"/>
      <c r="D53" s="136"/>
      <c r="E53" s="136"/>
      <c r="F53" s="136"/>
      <c r="G53" s="136"/>
      <c r="H53" s="136"/>
      <c r="I53" s="136"/>
      <c r="J53" s="136"/>
      <c r="K53" s="145">
        <f t="shared" si="13"/>
        <v>0</v>
      </c>
      <c r="L53" s="136"/>
    </row>
    <row r="54" spans="1:12" ht="18.75" customHeight="1" x14ac:dyDescent="0.3">
      <c r="A54" s="278"/>
      <c r="B54" s="136"/>
      <c r="C54" s="136"/>
      <c r="D54" s="136"/>
      <c r="E54" s="136"/>
      <c r="F54" s="136"/>
      <c r="G54" s="136"/>
      <c r="H54" s="136"/>
      <c r="I54" s="136"/>
      <c r="J54" s="136"/>
      <c r="K54" s="145">
        <f t="shared" si="13"/>
        <v>0</v>
      </c>
      <c r="L54" s="136"/>
    </row>
    <row r="55" spans="1:12" ht="18.75" customHeight="1" x14ac:dyDescent="0.3">
      <c r="A55" s="278">
        <v>243985</v>
      </c>
      <c r="B55" s="136"/>
      <c r="C55" s="136"/>
      <c r="D55" s="136">
        <v>23486.03</v>
      </c>
      <c r="E55" s="136"/>
      <c r="F55" s="136"/>
      <c r="G55" s="136"/>
      <c r="H55" s="136"/>
      <c r="I55" s="136"/>
      <c r="J55" s="136"/>
      <c r="K55" s="145">
        <f t="shared" si="13"/>
        <v>23486.03</v>
      </c>
      <c r="L55" s="272" t="s">
        <v>1756</v>
      </c>
    </row>
    <row r="56" spans="1:12" ht="18.75" customHeight="1" x14ac:dyDescent="0.3">
      <c r="A56" s="278">
        <v>243985</v>
      </c>
      <c r="B56" s="136"/>
      <c r="C56" s="136"/>
      <c r="D56" s="136">
        <v>4670.55</v>
      </c>
      <c r="E56" s="136"/>
      <c r="F56" s="136"/>
      <c r="G56" s="136"/>
      <c r="H56" s="136"/>
      <c r="I56" s="136"/>
      <c r="J56" s="136"/>
      <c r="K56" s="145">
        <f t="shared" si="13"/>
        <v>4670.55</v>
      </c>
      <c r="L56" s="272" t="s">
        <v>1759</v>
      </c>
    </row>
    <row r="57" spans="1:12" ht="18.75" customHeight="1" x14ac:dyDescent="0.3">
      <c r="A57" s="278">
        <v>243985</v>
      </c>
      <c r="B57" s="136"/>
      <c r="C57" s="136">
        <v>52662.53</v>
      </c>
      <c r="D57" s="136"/>
      <c r="E57" s="136"/>
      <c r="F57" s="136"/>
      <c r="G57" s="136"/>
      <c r="H57" s="136"/>
      <c r="I57" s="136"/>
      <c r="J57" s="136"/>
      <c r="K57" s="145">
        <f t="shared" si="13"/>
        <v>52662.53</v>
      </c>
      <c r="L57" s="272" t="s">
        <v>1760</v>
      </c>
    </row>
    <row r="58" spans="1:12" ht="18.75" customHeight="1" x14ac:dyDescent="0.3">
      <c r="A58" s="278">
        <v>243990</v>
      </c>
      <c r="B58" s="136"/>
      <c r="C58" s="136"/>
      <c r="D58" s="136"/>
      <c r="E58" s="136"/>
      <c r="F58" s="136"/>
      <c r="G58" s="136"/>
      <c r="H58" s="136"/>
      <c r="I58" s="136">
        <v>64200</v>
      </c>
      <c r="J58" s="136"/>
      <c r="K58" s="145">
        <f t="shared" si="13"/>
        <v>64200</v>
      </c>
      <c r="L58" s="272" t="s">
        <v>1772</v>
      </c>
    </row>
    <row r="59" spans="1:12" ht="18.75" customHeight="1" x14ac:dyDescent="0.3">
      <c r="A59" s="326">
        <v>244003</v>
      </c>
      <c r="B59" s="136"/>
      <c r="C59" s="136"/>
      <c r="D59" s="136"/>
      <c r="E59" s="136">
        <v>11351</v>
      </c>
      <c r="F59" s="136"/>
      <c r="G59" s="136"/>
      <c r="H59" s="136"/>
      <c r="I59" s="136"/>
      <c r="J59" s="136"/>
      <c r="K59" s="145">
        <f t="shared" si="13"/>
        <v>11351</v>
      </c>
      <c r="L59" s="272" t="s">
        <v>1797</v>
      </c>
    </row>
    <row r="60" spans="1:12" ht="18.75" customHeight="1" x14ac:dyDescent="0.3">
      <c r="A60" s="326">
        <v>244004</v>
      </c>
      <c r="B60" s="136"/>
      <c r="C60" s="136">
        <v>5997</v>
      </c>
      <c r="D60" s="136"/>
      <c r="E60" s="136"/>
      <c r="F60" s="136"/>
      <c r="G60" s="136"/>
      <c r="H60" s="136"/>
      <c r="I60" s="136"/>
      <c r="J60" s="136"/>
      <c r="K60" s="145">
        <f t="shared" si="13"/>
        <v>5997</v>
      </c>
      <c r="L60" s="272" t="s">
        <v>1804</v>
      </c>
    </row>
    <row r="61" spans="1:12" ht="18.75" customHeight="1" x14ac:dyDescent="0.3">
      <c r="A61" s="326">
        <v>244004</v>
      </c>
      <c r="B61" s="136"/>
      <c r="C61" s="136">
        <v>4751.87</v>
      </c>
      <c r="D61" s="136"/>
      <c r="E61" s="136"/>
      <c r="F61" s="136"/>
      <c r="G61" s="136"/>
      <c r="H61" s="136"/>
      <c r="I61" s="136"/>
      <c r="J61" s="136"/>
      <c r="K61" s="145">
        <f t="shared" si="13"/>
        <v>4751.87</v>
      </c>
      <c r="L61" s="272" t="s">
        <v>1805</v>
      </c>
    </row>
    <row r="62" spans="1:12" ht="18.75" customHeight="1" x14ac:dyDescent="0.3">
      <c r="A62" s="326">
        <v>244005</v>
      </c>
      <c r="B62" s="136"/>
      <c r="C62" s="136"/>
      <c r="D62" s="136"/>
      <c r="E62" s="136"/>
      <c r="F62" s="136"/>
      <c r="G62" s="136"/>
      <c r="H62" s="136"/>
      <c r="I62" s="136">
        <v>241562</v>
      </c>
      <c r="J62" s="136"/>
      <c r="K62" s="145">
        <f t="shared" si="13"/>
        <v>241562</v>
      </c>
      <c r="L62" s="272" t="s">
        <v>1806</v>
      </c>
    </row>
    <row r="63" spans="1:12" ht="18.75" customHeight="1" x14ac:dyDescent="0.3">
      <c r="A63" s="326">
        <v>244005</v>
      </c>
      <c r="B63" s="136">
        <v>416587.83</v>
      </c>
      <c r="C63" s="136"/>
      <c r="D63" s="136"/>
      <c r="E63" s="136"/>
      <c r="F63" s="136"/>
      <c r="G63" s="136"/>
      <c r="H63" s="136"/>
      <c r="I63" s="136"/>
      <c r="J63" s="136"/>
      <c r="K63" s="145">
        <f t="shared" si="13"/>
        <v>416587.83</v>
      </c>
      <c r="L63" s="272" t="s">
        <v>1807</v>
      </c>
    </row>
    <row r="64" spans="1:12" ht="18.75" customHeight="1" x14ac:dyDescent="0.3">
      <c r="A64" s="326">
        <v>244005</v>
      </c>
      <c r="B64" s="136"/>
      <c r="C64" s="136"/>
      <c r="D64" s="136"/>
      <c r="E64" s="136"/>
      <c r="F64" s="136"/>
      <c r="G64" s="136">
        <v>6609.66</v>
      </c>
      <c r="H64" s="136"/>
      <c r="I64" s="136"/>
      <c r="J64" s="136"/>
      <c r="K64" s="145">
        <f t="shared" si="13"/>
        <v>6609.66</v>
      </c>
      <c r="L64" s="272" t="s">
        <v>1808</v>
      </c>
    </row>
    <row r="65" spans="1:12" ht="18.75" customHeight="1" x14ac:dyDescent="0.3">
      <c r="A65" s="326">
        <v>244010</v>
      </c>
      <c r="B65" s="136"/>
      <c r="C65" s="136"/>
      <c r="D65" s="136">
        <v>4230.78</v>
      </c>
      <c r="E65" s="136"/>
      <c r="F65" s="136"/>
      <c r="G65" s="136"/>
      <c r="H65" s="136"/>
      <c r="I65" s="136"/>
      <c r="J65" s="136"/>
      <c r="K65" s="145">
        <f t="shared" si="13"/>
        <v>4230.78</v>
      </c>
      <c r="L65" s="272" t="s">
        <v>1821</v>
      </c>
    </row>
    <row r="66" spans="1:12" ht="18.75" customHeight="1" x14ac:dyDescent="0.3">
      <c r="A66" s="326">
        <v>244010</v>
      </c>
      <c r="B66" s="136"/>
      <c r="C66" s="136"/>
      <c r="D66" s="136">
        <v>23495.24</v>
      </c>
      <c r="E66" s="136"/>
      <c r="F66" s="136"/>
      <c r="G66" s="136"/>
      <c r="H66" s="136"/>
      <c r="I66" s="136"/>
      <c r="J66" s="136"/>
      <c r="K66" s="145">
        <f t="shared" si="13"/>
        <v>23495.24</v>
      </c>
      <c r="L66" s="272" t="s">
        <v>1822</v>
      </c>
    </row>
    <row r="67" spans="1:12" ht="18.75" customHeight="1" x14ac:dyDescent="0.3">
      <c r="A67" s="326">
        <v>244005</v>
      </c>
      <c r="B67" s="136"/>
      <c r="C67" s="136"/>
      <c r="D67" s="136"/>
      <c r="E67" s="136"/>
      <c r="F67" s="136"/>
      <c r="G67" s="136"/>
      <c r="H67" s="136"/>
      <c r="I67" s="136"/>
      <c r="J67" s="136"/>
      <c r="K67" s="145">
        <f t="shared" si="13"/>
        <v>0</v>
      </c>
      <c r="L67" s="272" t="s">
        <v>1807</v>
      </c>
    </row>
    <row r="68" spans="1:12" ht="18.75" customHeight="1" x14ac:dyDescent="0.3">
      <c r="A68" s="326">
        <v>244005</v>
      </c>
      <c r="B68" s="136"/>
      <c r="C68" s="136"/>
      <c r="D68" s="136"/>
      <c r="E68" s="136"/>
      <c r="F68" s="136"/>
      <c r="G68" s="136"/>
      <c r="H68" s="136"/>
      <c r="I68" s="136"/>
      <c r="J68" s="136"/>
      <c r="K68" s="145">
        <f t="shared" si="13"/>
        <v>0</v>
      </c>
      <c r="L68" s="272" t="s">
        <v>1807</v>
      </c>
    </row>
    <row r="69" spans="1:12" ht="18.75" customHeight="1" x14ac:dyDescent="0.3">
      <c r="A69" s="326">
        <v>244004</v>
      </c>
      <c r="B69" s="136"/>
      <c r="C69" s="136"/>
      <c r="D69" s="136"/>
      <c r="E69" s="136"/>
      <c r="F69" s="136"/>
      <c r="G69" s="136"/>
      <c r="H69" s="136"/>
      <c r="I69" s="136"/>
      <c r="J69" s="136"/>
      <c r="K69" s="145">
        <f t="shared" si="13"/>
        <v>0</v>
      </c>
      <c r="L69" s="272" t="s">
        <v>1807</v>
      </c>
    </row>
    <row r="70" spans="1:12" ht="18.75" customHeight="1" x14ac:dyDescent="0.3">
      <c r="A70" s="326">
        <v>244004</v>
      </c>
      <c r="B70" s="136"/>
      <c r="C70" s="136"/>
      <c r="D70" s="136"/>
      <c r="E70" s="136"/>
      <c r="F70" s="136"/>
      <c r="G70" s="136"/>
      <c r="H70" s="136"/>
      <c r="I70" s="136"/>
      <c r="J70" s="136"/>
      <c r="K70" s="145">
        <f t="shared" si="13"/>
        <v>0</v>
      </c>
      <c r="L70" s="272" t="s">
        <v>1807</v>
      </c>
    </row>
    <row r="71" spans="1:12" ht="18.75" customHeight="1" x14ac:dyDescent="0.3">
      <c r="A71" s="278"/>
      <c r="B71" s="136"/>
      <c r="C71" s="136"/>
      <c r="D71" s="136"/>
      <c r="E71" s="136"/>
      <c r="F71" s="136"/>
      <c r="G71" s="136"/>
      <c r="H71" s="136"/>
      <c r="I71" s="136"/>
      <c r="J71" s="136"/>
      <c r="K71" s="145">
        <f t="shared" si="13"/>
        <v>0</v>
      </c>
      <c r="L71" s="272"/>
    </row>
    <row r="72" spans="1:12" ht="18.75" customHeight="1" x14ac:dyDescent="0.3">
      <c r="A72" s="278"/>
      <c r="B72" s="136"/>
      <c r="C72" s="136"/>
      <c r="D72" s="136"/>
      <c r="E72" s="136"/>
      <c r="F72" s="136"/>
      <c r="G72" s="136"/>
      <c r="H72" s="136"/>
      <c r="I72" s="136"/>
      <c r="J72" s="136"/>
      <c r="K72" s="145">
        <f t="shared" ref="K72:K88" si="18">SUM(B72:J72)</f>
        <v>0</v>
      </c>
      <c r="L72" s="272"/>
    </row>
    <row r="73" spans="1:12" ht="18.75" customHeight="1" x14ac:dyDescent="0.3">
      <c r="A73" s="278"/>
      <c r="B73" s="136"/>
      <c r="C73" s="136"/>
      <c r="D73" s="136"/>
      <c r="E73" s="136"/>
      <c r="F73" s="136"/>
      <c r="G73" s="136"/>
      <c r="H73" s="136"/>
      <c r="I73" s="136"/>
      <c r="J73" s="136"/>
      <c r="K73" s="145">
        <f t="shared" si="18"/>
        <v>0</v>
      </c>
      <c r="L73" s="136"/>
    </row>
    <row r="74" spans="1:12" ht="18.75" customHeight="1" x14ac:dyDescent="0.3">
      <c r="A74" s="311" t="s">
        <v>225</v>
      </c>
      <c r="B74" s="279">
        <f t="shared" ref="B74:J74" si="19">SUM(B53:B73)</f>
        <v>416587.83</v>
      </c>
      <c r="C74" s="279">
        <f t="shared" si="19"/>
        <v>63411.4</v>
      </c>
      <c r="D74" s="279">
        <f t="shared" ref="D74" si="20">SUM(D53:D73)</f>
        <v>55882.6</v>
      </c>
      <c r="E74" s="279">
        <f t="shared" si="19"/>
        <v>11351</v>
      </c>
      <c r="F74" s="279">
        <f t="shared" si="19"/>
        <v>0</v>
      </c>
      <c r="G74" s="279">
        <f t="shared" si="19"/>
        <v>6609.66</v>
      </c>
      <c r="H74" s="279">
        <f t="shared" si="19"/>
        <v>0</v>
      </c>
      <c r="I74" s="279">
        <f t="shared" si="19"/>
        <v>305762</v>
      </c>
      <c r="J74" s="279">
        <f t="shared" si="19"/>
        <v>0</v>
      </c>
      <c r="K74" s="280">
        <f t="shared" si="18"/>
        <v>859604.49000000011</v>
      </c>
      <c r="L74" s="195"/>
    </row>
    <row r="75" spans="1:12" ht="18.75" customHeight="1" x14ac:dyDescent="0.3">
      <c r="A75" s="311" t="s">
        <v>226</v>
      </c>
      <c r="B75" s="279">
        <f t="shared" ref="B75:J75" si="21">SUM(B51+B74)</f>
        <v>1908667.52</v>
      </c>
      <c r="C75" s="279">
        <f t="shared" si="21"/>
        <v>200706.13999999998</v>
      </c>
      <c r="D75" s="279">
        <f t="shared" ref="D75" si="22">SUM(D51+D74)</f>
        <v>109967.17000000001</v>
      </c>
      <c r="E75" s="279">
        <f t="shared" si="21"/>
        <v>94447</v>
      </c>
      <c r="F75" s="279">
        <f t="shared" si="21"/>
        <v>0</v>
      </c>
      <c r="G75" s="279">
        <f t="shared" si="21"/>
        <v>26438.639999999999</v>
      </c>
      <c r="H75" s="279">
        <f t="shared" si="21"/>
        <v>0</v>
      </c>
      <c r="I75" s="279">
        <f t="shared" si="21"/>
        <v>305762</v>
      </c>
      <c r="J75" s="279">
        <f t="shared" si="21"/>
        <v>0</v>
      </c>
      <c r="K75" s="280">
        <f t="shared" si="18"/>
        <v>2645988.4700000002</v>
      </c>
      <c r="L75" s="195"/>
    </row>
    <row r="76" spans="1:12" ht="18.75" customHeight="1" x14ac:dyDescent="0.3">
      <c r="A76" s="311" t="s">
        <v>227</v>
      </c>
      <c r="B76" s="279">
        <f t="shared" ref="B76:J76" si="23">SUM(B52-B74)</f>
        <v>1111132.48</v>
      </c>
      <c r="C76" s="279">
        <f t="shared" si="23"/>
        <v>-80906.14</v>
      </c>
      <c r="D76" s="279">
        <f t="shared" ref="D76" si="24">SUM(D52-D74)</f>
        <v>-69967.17</v>
      </c>
      <c r="E76" s="279">
        <f t="shared" si="23"/>
        <v>130553</v>
      </c>
      <c r="F76" s="279">
        <f t="shared" si="23"/>
        <v>1200000</v>
      </c>
      <c r="G76" s="279">
        <f t="shared" si="23"/>
        <v>73561.359999999986</v>
      </c>
      <c r="H76" s="279">
        <f t="shared" si="23"/>
        <v>164200</v>
      </c>
      <c r="I76" s="279">
        <f t="shared" si="23"/>
        <v>1190038</v>
      </c>
      <c r="J76" s="279">
        <f t="shared" si="23"/>
        <v>1100000</v>
      </c>
      <c r="K76" s="280">
        <f t="shared" si="18"/>
        <v>4818611.5299999993</v>
      </c>
      <c r="L76" s="195"/>
    </row>
    <row r="77" spans="1:12" ht="18.75" customHeight="1" x14ac:dyDescent="0.3">
      <c r="A77" s="277" t="s">
        <v>228</v>
      </c>
      <c r="B77" s="136"/>
      <c r="C77" s="136"/>
      <c r="D77" s="136"/>
      <c r="E77" s="136"/>
      <c r="F77" s="136"/>
      <c r="G77" s="136"/>
      <c r="H77" s="136"/>
      <c r="I77" s="136"/>
      <c r="J77" s="136"/>
      <c r="K77" s="313">
        <f t="shared" si="18"/>
        <v>0</v>
      </c>
      <c r="L77" s="136"/>
    </row>
    <row r="78" spans="1:12" ht="18.75" customHeight="1" x14ac:dyDescent="0.3">
      <c r="A78" s="327">
        <v>45327</v>
      </c>
      <c r="B78" s="136"/>
      <c r="C78" s="136"/>
      <c r="D78" s="136"/>
      <c r="E78" s="136"/>
      <c r="F78" s="136"/>
      <c r="G78" s="136"/>
      <c r="H78" s="136"/>
      <c r="I78" s="136"/>
      <c r="J78" s="136"/>
      <c r="K78" s="313">
        <f t="shared" si="18"/>
        <v>0</v>
      </c>
      <c r="L78" s="319"/>
    </row>
    <row r="79" spans="1:12" ht="18.75" customHeight="1" x14ac:dyDescent="0.3">
      <c r="A79" s="327">
        <v>45335</v>
      </c>
      <c r="B79" s="136"/>
      <c r="C79" s="136"/>
      <c r="D79" s="136"/>
      <c r="E79" s="136"/>
      <c r="F79" s="136"/>
      <c r="G79" s="136"/>
      <c r="H79" s="136"/>
      <c r="I79" s="136"/>
      <c r="J79" s="136"/>
      <c r="K79" s="313">
        <f t="shared" si="18"/>
        <v>0</v>
      </c>
      <c r="L79" s="328"/>
    </row>
    <row r="80" spans="1:12" ht="18.75" customHeight="1" x14ac:dyDescent="0.3">
      <c r="A80" s="327">
        <v>45341</v>
      </c>
      <c r="B80" s="136"/>
      <c r="C80" s="136"/>
      <c r="D80" s="136"/>
      <c r="E80" s="136"/>
      <c r="F80" s="136"/>
      <c r="G80" s="136"/>
      <c r="H80" s="136"/>
      <c r="I80" s="136"/>
      <c r="J80" s="136"/>
      <c r="K80" s="313">
        <f t="shared" si="18"/>
        <v>0</v>
      </c>
      <c r="L80" s="328"/>
    </row>
    <row r="81" spans="1:12" ht="18.75" customHeight="1" x14ac:dyDescent="0.3">
      <c r="A81" s="327">
        <v>45341</v>
      </c>
      <c r="B81" s="136"/>
      <c r="C81" s="136"/>
      <c r="D81" s="136"/>
      <c r="E81" s="136"/>
      <c r="F81" s="136"/>
      <c r="G81" s="136"/>
      <c r="H81" s="136"/>
      <c r="I81" s="136"/>
      <c r="J81" s="136"/>
      <c r="K81" s="313">
        <f t="shared" si="18"/>
        <v>0</v>
      </c>
      <c r="L81" s="328"/>
    </row>
    <row r="82" spans="1:12" ht="18.75" customHeight="1" x14ac:dyDescent="0.3">
      <c r="A82" s="327">
        <v>45341</v>
      </c>
      <c r="B82" s="136"/>
      <c r="C82" s="136"/>
      <c r="D82" s="136"/>
      <c r="E82" s="136"/>
      <c r="F82" s="136"/>
      <c r="G82" s="136"/>
      <c r="H82" s="136"/>
      <c r="I82" s="136"/>
      <c r="J82" s="136"/>
      <c r="K82" s="313">
        <f t="shared" si="18"/>
        <v>0</v>
      </c>
      <c r="L82" s="328"/>
    </row>
    <row r="83" spans="1:12" ht="18.75" customHeight="1" x14ac:dyDescent="0.3">
      <c r="A83" s="327">
        <v>45344</v>
      </c>
      <c r="B83" s="136"/>
      <c r="C83" s="136"/>
      <c r="D83" s="136"/>
      <c r="E83" s="136"/>
      <c r="F83" s="136"/>
      <c r="G83" s="136"/>
      <c r="H83" s="136"/>
      <c r="I83" s="136"/>
      <c r="J83" s="136"/>
      <c r="K83" s="313">
        <f t="shared" si="18"/>
        <v>0</v>
      </c>
      <c r="L83" s="328"/>
    </row>
    <row r="84" spans="1:12" ht="18.75" customHeight="1" x14ac:dyDescent="0.3">
      <c r="A84" s="327">
        <v>45350</v>
      </c>
      <c r="B84" s="136"/>
      <c r="C84" s="136"/>
      <c r="D84" s="136"/>
      <c r="E84" s="136"/>
      <c r="F84" s="136"/>
      <c r="G84" s="136"/>
      <c r="H84" s="136"/>
      <c r="I84" s="136"/>
      <c r="J84" s="136"/>
      <c r="K84" s="313">
        <f t="shared" si="18"/>
        <v>0</v>
      </c>
      <c r="L84" s="319"/>
    </row>
    <row r="85" spans="1:12" ht="18.75" customHeight="1" x14ac:dyDescent="0.3">
      <c r="A85" s="327">
        <v>45350</v>
      </c>
      <c r="B85" s="136"/>
      <c r="C85" s="136"/>
      <c r="D85" s="136"/>
      <c r="E85" s="136"/>
      <c r="F85" s="136"/>
      <c r="G85" s="136"/>
      <c r="H85" s="136"/>
      <c r="I85" s="136"/>
      <c r="J85" s="136"/>
      <c r="K85" s="313">
        <f t="shared" si="18"/>
        <v>0</v>
      </c>
      <c r="L85" s="319"/>
    </row>
    <row r="86" spans="1:12" ht="18.75" customHeight="1" x14ac:dyDescent="0.3">
      <c r="A86" s="327">
        <v>45350</v>
      </c>
      <c r="B86" s="136"/>
      <c r="C86" s="136"/>
      <c r="D86" s="136"/>
      <c r="E86" s="136"/>
      <c r="F86" s="136"/>
      <c r="G86" s="136"/>
      <c r="H86" s="136"/>
      <c r="I86" s="136"/>
      <c r="J86" s="136"/>
      <c r="K86" s="313">
        <f t="shared" si="18"/>
        <v>0</v>
      </c>
      <c r="L86" s="319"/>
    </row>
    <row r="87" spans="1:12" ht="18.75" customHeight="1" x14ac:dyDescent="0.3">
      <c r="A87" s="278"/>
      <c r="B87" s="136"/>
      <c r="C87" s="136"/>
      <c r="D87" s="136"/>
      <c r="E87" s="136"/>
      <c r="F87" s="136"/>
      <c r="G87" s="136"/>
      <c r="H87" s="136"/>
      <c r="I87" s="136"/>
      <c r="J87" s="136"/>
      <c r="K87" s="313">
        <f t="shared" si="18"/>
        <v>0</v>
      </c>
      <c r="L87" s="136"/>
    </row>
    <row r="88" spans="1:12" ht="18.75" customHeight="1" x14ac:dyDescent="0.3">
      <c r="A88" s="278"/>
      <c r="B88" s="136"/>
      <c r="C88" s="136"/>
      <c r="D88" s="136"/>
      <c r="E88" s="136"/>
      <c r="F88" s="136"/>
      <c r="G88" s="136"/>
      <c r="H88" s="136"/>
      <c r="I88" s="136"/>
      <c r="J88" s="136"/>
      <c r="K88" s="313">
        <f t="shared" si="18"/>
        <v>0</v>
      </c>
      <c r="L88" s="136"/>
    </row>
    <row r="89" spans="1:12" ht="18.75" customHeight="1" x14ac:dyDescent="0.3">
      <c r="A89" s="278"/>
      <c r="B89" s="136"/>
      <c r="C89" s="136"/>
      <c r="D89" s="136"/>
      <c r="E89" s="136"/>
      <c r="F89" s="136"/>
      <c r="G89" s="136"/>
      <c r="H89" s="136"/>
      <c r="I89" s="136"/>
      <c r="J89" s="136"/>
      <c r="K89" s="145"/>
      <c r="L89" s="136"/>
    </row>
    <row r="90" spans="1:12" ht="18.75" customHeight="1" x14ac:dyDescent="0.3">
      <c r="A90" s="311" t="s">
        <v>229</v>
      </c>
      <c r="B90" s="279">
        <f t="shared" ref="B90:J90" si="25">SUM(B77:B89)</f>
        <v>0</v>
      </c>
      <c r="C90" s="279">
        <f t="shared" si="25"/>
        <v>0</v>
      </c>
      <c r="D90" s="279">
        <f t="shared" ref="D90" si="26">SUM(D77:D89)</f>
        <v>0</v>
      </c>
      <c r="E90" s="279">
        <f t="shared" si="25"/>
        <v>0</v>
      </c>
      <c r="F90" s="279">
        <f t="shared" si="25"/>
        <v>0</v>
      </c>
      <c r="G90" s="279">
        <f t="shared" si="25"/>
        <v>0</v>
      </c>
      <c r="H90" s="279">
        <f t="shared" si="25"/>
        <v>0</v>
      </c>
      <c r="I90" s="279">
        <f t="shared" si="25"/>
        <v>0</v>
      </c>
      <c r="J90" s="279">
        <f t="shared" si="25"/>
        <v>0</v>
      </c>
      <c r="K90" s="280">
        <f>SUM(B90:J90)</f>
        <v>0</v>
      </c>
      <c r="L90" s="195"/>
    </row>
    <row r="91" spans="1:12" ht="18.75" customHeight="1" x14ac:dyDescent="0.3">
      <c r="A91" s="311" t="s">
        <v>230</v>
      </c>
      <c r="B91" s="279">
        <f t="shared" ref="B91:J91" si="27">SUM(B75+B90)</f>
        <v>1908667.52</v>
      </c>
      <c r="C91" s="279">
        <f t="shared" si="27"/>
        <v>200706.13999999998</v>
      </c>
      <c r="D91" s="279">
        <f t="shared" ref="D91" si="28">SUM(D75+D90)</f>
        <v>109967.17000000001</v>
      </c>
      <c r="E91" s="279">
        <f t="shared" si="27"/>
        <v>94447</v>
      </c>
      <c r="F91" s="279">
        <f t="shared" si="27"/>
        <v>0</v>
      </c>
      <c r="G91" s="279">
        <f t="shared" si="27"/>
        <v>26438.639999999999</v>
      </c>
      <c r="H91" s="279">
        <f t="shared" si="27"/>
        <v>0</v>
      </c>
      <c r="I91" s="279">
        <f t="shared" si="27"/>
        <v>305762</v>
      </c>
      <c r="J91" s="279">
        <f t="shared" si="27"/>
        <v>0</v>
      </c>
      <c r="K91" s="280">
        <f>SUM(B91:J91)</f>
        <v>2645988.4700000002</v>
      </c>
      <c r="L91" s="195"/>
    </row>
    <row r="92" spans="1:12" ht="18.75" customHeight="1" x14ac:dyDescent="0.3">
      <c r="A92" s="311" t="s">
        <v>231</v>
      </c>
      <c r="B92" s="279">
        <f t="shared" ref="B92:J92" si="29">SUM(B76-B90)</f>
        <v>1111132.48</v>
      </c>
      <c r="C92" s="279">
        <f t="shared" si="29"/>
        <v>-80906.14</v>
      </c>
      <c r="D92" s="279">
        <f t="shared" ref="D92" si="30">SUM(D76-D90)</f>
        <v>-69967.17</v>
      </c>
      <c r="E92" s="279">
        <f t="shared" si="29"/>
        <v>130553</v>
      </c>
      <c r="F92" s="279">
        <f t="shared" si="29"/>
        <v>1200000</v>
      </c>
      <c r="G92" s="279">
        <f t="shared" si="29"/>
        <v>73561.359999999986</v>
      </c>
      <c r="H92" s="279">
        <f t="shared" si="29"/>
        <v>164200</v>
      </c>
      <c r="I92" s="279">
        <f t="shared" si="29"/>
        <v>1190038</v>
      </c>
      <c r="J92" s="279">
        <f t="shared" si="29"/>
        <v>1100000</v>
      </c>
      <c r="K92" s="280">
        <f>SUM(B92:J92)</f>
        <v>4818611.5299999993</v>
      </c>
      <c r="L92" s="195"/>
    </row>
    <row r="93" spans="1:12" ht="18.75" customHeight="1" x14ac:dyDescent="0.3">
      <c r="A93" s="277" t="s">
        <v>232</v>
      </c>
      <c r="B93" s="136"/>
      <c r="C93" s="136"/>
      <c r="D93" s="136"/>
      <c r="E93" s="136"/>
      <c r="F93" s="136"/>
      <c r="G93" s="136"/>
      <c r="H93" s="136"/>
      <c r="I93" s="136"/>
      <c r="J93" s="136"/>
      <c r="K93" s="329"/>
      <c r="L93" s="136"/>
    </row>
    <row r="94" spans="1:12" ht="18.75" customHeight="1" x14ac:dyDescent="0.3">
      <c r="A94" s="330">
        <v>243681</v>
      </c>
      <c r="B94" s="136"/>
      <c r="C94" s="136"/>
      <c r="D94" s="136"/>
      <c r="E94" s="136"/>
      <c r="F94" s="136"/>
      <c r="G94" s="136"/>
      <c r="H94" s="136"/>
      <c r="I94" s="136"/>
      <c r="J94" s="136"/>
      <c r="K94" s="329">
        <f t="shared" ref="K94:K118" si="31">SUM(B94:J94)</f>
        <v>0</v>
      </c>
      <c r="L94" s="319"/>
    </row>
    <row r="95" spans="1:12" ht="18.75" customHeight="1" x14ac:dyDescent="0.3">
      <c r="A95" s="330">
        <v>243689</v>
      </c>
      <c r="B95" s="136"/>
      <c r="C95" s="136"/>
      <c r="D95" s="136"/>
      <c r="E95" s="136"/>
      <c r="F95" s="136"/>
      <c r="G95" s="136"/>
      <c r="H95" s="136"/>
      <c r="I95" s="136"/>
      <c r="J95" s="136"/>
      <c r="K95" s="329">
        <f t="shared" si="31"/>
        <v>0</v>
      </c>
      <c r="L95" s="328"/>
    </row>
    <row r="96" spans="1:12" ht="18.75" customHeight="1" x14ac:dyDescent="0.3">
      <c r="A96" s="330">
        <v>45364</v>
      </c>
      <c r="B96" s="136"/>
      <c r="C96" s="136"/>
      <c r="D96" s="136"/>
      <c r="E96" s="136"/>
      <c r="F96" s="136"/>
      <c r="G96" s="136"/>
      <c r="H96" s="136"/>
      <c r="I96" s="136"/>
      <c r="J96" s="136"/>
      <c r="K96" s="329">
        <f t="shared" si="31"/>
        <v>0</v>
      </c>
      <c r="L96" s="331"/>
    </row>
    <row r="97" spans="1:12" ht="18.75" customHeight="1" x14ac:dyDescent="0.3">
      <c r="A97" s="330">
        <v>45366</v>
      </c>
      <c r="B97" s="136"/>
      <c r="C97" s="136"/>
      <c r="D97" s="136"/>
      <c r="E97" s="136"/>
      <c r="F97" s="136"/>
      <c r="G97" s="136"/>
      <c r="H97" s="136"/>
      <c r="I97" s="136"/>
      <c r="J97" s="136"/>
      <c r="K97" s="329">
        <f t="shared" si="31"/>
        <v>0</v>
      </c>
      <c r="L97" s="328"/>
    </row>
    <row r="98" spans="1:12" ht="18.75" customHeight="1" x14ac:dyDescent="0.3">
      <c r="A98" s="330">
        <v>45372</v>
      </c>
      <c r="B98" s="136"/>
      <c r="C98" s="136"/>
      <c r="D98" s="136"/>
      <c r="E98" s="136"/>
      <c r="F98" s="136"/>
      <c r="G98" s="136"/>
      <c r="H98" s="136"/>
      <c r="I98" s="136"/>
      <c r="J98" s="136"/>
      <c r="K98" s="329">
        <f t="shared" si="31"/>
        <v>0</v>
      </c>
      <c r="L98" s="328"/>
    </row>
    <row r="99" spans="1:12" ht="18.75" customHeight="1" x14ac:dyDescent="0.3">
      <c r="A99" s="330">
        <v>45372</v>
      </c>
      <c r="B99" s="136"/>
      <c r="C99" s="136"/>
      <c r="D99" s="136"/>
      <c r="E99" s="136"/>
      <c r="F99" s="136"/>
      <c r="G99" s="136"/>
      <c r="H99" s="136"/>
      <c r="I99" s="136"/>
      <c r="J99" s="136"/>
      <c r="K99" s="329">
        <f t="shared" si="31"/>
        <v>0</v>
      </c>
      <c r="L99" s="328"/>
    </row>
    <row r="100" spans="1:12" ht="18.75" customHeight="1" x14ac:dyDescent="0.3">
      <c r="A100" s="330">
        <v>45372</v>
      </c>
      <c r="B100" s="136"/>
      <c r="C100" s="136"/>
      <c r="D100" s="136"/>
      <c r="E100" s="136"/>
      <c r="F100" s="136"/>
      <c r="G100" s="136"/>
      <c r="H100" s="136"/>
      <c r="I100" s="136"/>
      <c r="J100" s="136"/>
      <c r="K100" s="329">
        <f t="shared" si="31"/>
        <v>0</v>
      </c>
      <c r="L100" s="331"/>
    </row>
    <row r="101" spans="1:12" ht="18.75" customHeight="1" x14ac:dyDescent="0.3">
      <c r="A101" s="330">
        <v>45373</v>
      </c>
      <c r="B101" s="136"/>
      <c r="C101" s="136"/>
      <c r="D101" s="136"/>
      <c r="E101" s="136"/>
      <c r="F101" s="136"/>
      <c r="G101" s="136"/>
      <c r="H101" s="136"/>
      <c r="I101" s="136"/>
      <c r="J101" s="136"/>
      <c r="K101" s="329">
        <f t="shared" si="31"/>
        <v>0</v>
      </c>
      <c r="L101" s="331"/>
    </row>
    <row r="102" spans="1:12" ht="18.75" customHeight="1" x14ac:dyDescent="0.3">
      <c r="A102" s="330">
        <v>45376</v>
      </c>
      <c r="B102" s="136"/>
      <c r="C102" s="136"/>
      <c r="D102" s="136"/>
      <c r="E102" s="136"/>
      <c r="F102" s="136"/>
      <c r="G102" s="136"/>
      <c r="H102" s="136"/>
      <c r="I102" s="136"/>
      <c r="J102" s="136"/>
      <c r="K102" s="329">
        <f t="shared" si="31"/>
        <v>0</v>
      </c>
      <c r="L102" s="331"/>
    </row>
    <row r="103" spans="1:12" ht="18.75" customHeight="1" x14ac:dyDescent="0.3">
      <c r="A103" s="330">
        <v>45377</v>
      </c>
      <c r="B103" s="136"/>
      <c r="C103" s="136"/>
      <c r="D103" s="136"/>
      <c r="E103" s="136"/>
      <c r="F103" s="136"/>
      <c r="G103" s="136"/>
      <c r="H103" s="136"/>
      <c r="I103" s="136"/>
      <c r="J103" s="136"/>
      <c r="K103" s="329">
        <f t="shared" si="31"/>
        <v>0</v>
      </c>
      <c r="L103" s="331"/>
    </row>
    <row r="104" spans="1:12" ht="18.75" customHeight="1" x14ac:dyDescent="0.3">
      <c r="A104" s="330">
        <v>45377</v>
      </c>
      <c r="B104" s="136"/>
      <c r="C104" s="136"/>
      <c r="D104" s="136"/>
      <c r="E104" s="136"/>
      <c r="F104" s="136"/>
      <c r="G104" s="136"/>
      <c r="H104" s="136"/>
      <c r="I104" s="136"/>
      <c r="J104" s="136"/>
      <c r="K104" s="329">
        <f t="shared" si="31"/>
        <v>0</v>
      </c>
      <c r="L104" s="331"/>
    </row>
    <row r="105" spans="1:12" ht="18.75" customHeight="1" x14ac:dyDescent="0.3">
      <c r="A105" s="330">
        <v>45377</v>
      </c>
      <c r="B105" s="136"/>
      <c r="C105" s="136"/>
      <c r="D105" s="136"/>
      <c r="E105" s="136"/>
      <c r="F105" s="136"/>
      <c r="G105" s="136"/>
      <c r="H105" s="136"/>
      <c r="I105" s="136"/>
      <c r="J105" s="136"/>
      <c r="K105" s="329">
        <f t="shared" si="31"/>
        <v>0</v>
      </c>
      <c r="L105" s="331"/>
    </row>
    <row r="106" spans="1:12" ht="18.75" customHeight="1" x14ac:dyDescent="0.3">
      <c r="A106" s="278"/>
      <c r="B106" s="136"/>
      <c r="C106" s="136"/>
      <c r="D106" s="136"/>
      <c r="E106" s="136"/>
      <c r="F106" s="136"/>
      <c r="G106" s="136"/>
      <c r="H106" s="136"/>
      <c r="I106" s="136"/>
      <c r="J106" s="136"/>
      <c r="K106" s="329">
        <f t="shared" si="31"/>
        <v>0</v>
      </c>
      <c r="L106" s="285"/>
    </row>
    <row r="107" spans="1:12" ht="18.75" customHeight="1" x14ac:dyDescent="0.3">
      <c r="A107" s="278"/>
      <c r="B107" s="136"/>
      <c r="C107" s="136"/>
      <c r="D107" s="136"/>
      <c r="E107" s="136"/>
      <c r="F107" s="136"/>
      <c r="G107" s="136"/>
      <c r="H107" s="136"/>
      <c r="I107" s="136"/>
      <c r="J107" s="136"/>
      <c r="K107" s="329">
        <f t="shared" si="31"/>
        <v>0</v>
      </c>
      <c r="L107" s="285"/>
    </row>
    <row r="108" spans="1:12" ht="18.75" customHeight="1" x14ac:dyDescent="0.3">
      <c r="A108" s="278"/>
      <c r="B108" s="136"/>
      <c r="C108" s="136"/>
      <c r="D108" s="136"/>
      <c r="E108" s="136"/>
      <c r="F108" s="136"/>
      <c r="G108" s="136"/>
      <c r="H108" s="136"/>
      <c r="I108" s="136"/>
      <c r="J108" s="136"/>
      <c r="K108" s="329">
        <f t="shared" si="31"/>
        <v>0</v>
      </c>
      <c r="L108" s="136"/>
    </row>
    <row r="109" spans="1:12" ht="18.75" customHeight="1" x14ac:dyDescent="0.3">
      <c r="A109" s="278"/>
      <c r="B109" s="136"/>
      <c r="C109" s="136"/>
      <c r="D109" s="136"/>
      <c r="E109" s="136"/>
      <c r="F109" s="136"/>
      <c r="G109" s="136"/>
      <c r="H109" s="136"/>
      <c r="I109" s="136"/>
      <c r="J109" s="136"/>
      <c r="K109" s="329">
        <f t="shared" si="31"/>
        <v>0</v>
      </c>
      <c r="L109" s="136"/>
    </row>
    <row r="110" spans="1:12" ht="18.75" customHeight="1" x14ac:dyDescent="0.3">
      <c r="A110" s="278"/>
      <c r="B110" s="136"/>
      <c r="C110" s="136"/>
      <c r="D110" s="136"/>
      <c r="E110" s="136"/>
      <c r="F110" s="136"/>
      <c r="G110" s="136"/>
      <c r="H110" s="136"/>
      <c r="I110" s="136"/>
      <c r="J110" s="136"/>
      <c r="K110" s="329">
        <f t="shared" si="31"/>
        <v>0</v>
      </c>
      <c r="L110" s="136"/>
    </row>
    <row r="111" spans="1:12" ht="18.75" customHeight="1" x14ac:dyDescent="0.3">
      <c r="A111" s="278"/>
      <c r="B111" s="136"/>
      <c r="C111" s="136"/>
      <c r="D111" s="136"/>
      <c r="E111" s="136"/>
      <c r="F111" s="136"/>
      <c r="G111" s="136"/>
      <c r="H111" s="136"/>
      <c r="I111" s="136"/>
      <c r="J111" s="136"/>
      <c r="K111" s="329">
        <f t="shared" si="31"/>
        <v>0</v>
      </c>
      <c r="L111" s="285"/>
    </row>
    <row r="112" spans="1:12" ht="18.75" customHeight="1" x14ac:dyDescent="0.3">
      <c r="A112" s="278"/>
      <c r="B112" s="136"/>
      <c r="C112" s="136"/>
      <c r="D112" s="136"/>
      <c r="E112" s="136"/>
      <c r="F112" s="136"/>
      <c r="G112" s="136"/>
      <c r="H112" s="136"/>
      <c r="I112" s="136"/>
      <c r="J112" s="136"/>
      <c r="K112" s="329">
        <f t="shared" si="31"/>
        <v>0</v>
      </c>
      <c r="L112" s="285"/>
    </row>
    <row r="113" spans="1:12" ht="18.75" customHeight="1" x14ac:dyDescent="0.3">
      <c r="A113" s="278"/>
      <c r="B113" s="136"/>
      <c r="C113" s="136"/>
      <c r="D113" s="136"/>
      <c r="E113" s="136"/>
      <c r="F113" s="136"/>
      <c r="G113" s="136"/>
      <c r="H113" s="136"/>
      <c r="I113" s="136"/>
      <c r="J113" s="136"/>
      <c r="K113" s="329">
        <f t="shared" si="31"/>
        <v>0</v>
      </c>
      <c r="L113" s="136"/>
    </row>
    <row r="114" spans="1:12" ht="18.75" customHeight="1" x14ac:dyDescent="0.3">
      <c r="A114" s="278"/>
      <c r="B114" s="136"/>
      <c r="C114" s="136"/>
      <c r="D114" s="136"/>
      <c r="E114" s="136"/>
      <c r="F114" s="136"/>
      <c r="G114" s="136"/>
      <c r="H114" s="136"/>
      <c r="I114" s="136"/>
      <c r="J114" s="136"/>
      <c r="K114" s="329">
        <f t="shared" si="31"/>
        <v>0</v>
      </c>
      <c r="L114" s="136"/>
    </row>
    <row r="115" spans="1:12" ht="18.75" customHeight="1" x14ac:dyDescent="0.3">
      <c r="A115" s="278"/>
      <c r="B115" s="136"/>
      <c r="C115" s="136"/>
      <c r="D115" s="136"/>
      <c r="E115" s="136"/>
      <c r="F115" s="136"/>
      <c r="G115" s="136"/>
      <c r="H115" s="136"/>
      <c r="I115" s="136"/>
      <c r="J115" s="136"/>
      <c r="K115" s="329">
        <f t="shared" si="31"/>
        <v>0</v>
      </c>
      <c r="L115" s="136"/>
    </row>
    <row r="116" spans="1:12" ht="18.75" customHeight="1" x14ac:dyDescent="0.3">
      <c r="A116" s="311" t="s">
        <v>233</v>
      </c>
      <c r="B116" s="279">
        <f t="shared" ref="B116:J116" si="32">SUM(B93:B115)</f>
        <v>0</v>
      </c>
      <c r="C116" s="279">
        <f t="shared" si="32"/>
        <v>0</v>
      </c>
      <c r="D116" s="279">
        <f t="shared" ref="D116" si="33">SUM(D93:D115)</f>
        <v>0</v>
      </c>
      <c r="E116" s="279">
        <f t="shared" si="32"/>
        <v>0</v>
      </c>
      <c r="F116" s="279">
        <f t="shared" si="32"/>
        <v>0</v>
      </c>
      <c r="G116" s="279">
        <f t="shared" si="32"/>
        <v>0</v>
      </c>
      <c r="H116" s="279">
        <f t="shared" si="32"/>
        <v>0</v>
      </c>
      <c r="I116" s="279">
        <f t="shared" si="32"/>
        <v>0</v>
      </c>
      <c r="J116" s="279">
        <f t="shared" si="32"/>
        <v>0</v>
      </c>
      <c r="K116" s="280">
        <f t="shared" si="31"/>
        <v>0</v>
      </c>
      <c r="L116" s="195"/>
    </row>
    <row r="117" spans="1:12" ht="18.75" customHeight="1" x14ac:dyDescent="0.3">
      <c r="A117" s="311" t="s">
        <v>234</v>
      </c>
      <c r="B117" s="279">
        <f t="shared" ref="B117:J117" si="34">SUM(B91+B116)</f>
        <v>1908667.52</v>
      </c>
      <c r="C117" s="279">
        <f t="shared" si="34"/>
        <v>200706.13999999998</v>
      </c>
      <c r="D117" s="279">
        <f t="shared" ref="D117" si="35">SUM(D91+D116)</f>
        <v>109967.17000000001</v>
      </c>
      <c r="E117" s="279">
        <f t="shared" si="34"/>
        <v>94447</v>
      </c>
      <c r="F117" s="279">
        <f t="shared" si="34"/>
        <v>0</v>
      </c>
      <c r="G117" s="279">
        <f t="shared" si="34"/>
        <v>26438.639999999999</v>
      </c>
      <c r="H117" s="279">
        <f t="shared" si="34"/>
        <v>0</v>
      </c>
      <c r="I117" s="279">
        <f t="shared" si="34"/>
        <v>305762</v>
      </c>
      <c r="J117" s="279">
        <f t="shared" si="34"/>
        <v>0</v>
      </c>
      <c r="K117" s="280">
        <f t="shared" si="31"/>
        <v>2645988.4700000002</v>
      </c>
      <c r="L117" s="195"/>
    </row>
    <row r="118" spans="1:12" ht="18.75" customHeight="1" x14ac:dyDescent="0.3">
      <c r="A118" s="311" t="s">
        <v>235</v>
      </c>
      <c r="B118" s="279">
        <f t="shared" ref="B118:J118" si="36">SUM(B92-B116)</f>
        <v>1111132.48</v>
      </c>
      <c r="C118" s="279">
        <f t="shared" si="36"/>
        <v>-80906.14</v>
      </c>
      <c r="D118" s="279">
        <f t="shared" ref="D118" si="37">SUM(D92-D116)</f>
        <v>-69967.17</v>
      </c>
      <c r="E118" s="279">
        <f t="shared" si="36"/>
        <v>130553</v>
      </c>
      <c r="F118" s="279">
        <f t="shared" si="36"/>
        <v>1200000</v>
      </c>
      <c r="G118" s="279">
        <f t="shared" si="36"/>
        <v>73561.359999999986</v>
      </c>
      <c r="H118" s="279">
        <f t="shared" si="36"/>
        <v>164200</v>
      </c>
      <c r="I118" s="279">
        <f t="shared" si="36"/>
        <v>1190038</v>
      </c>
      <c r="J118" s="279">
        <f t="shared" si="36"/>
        <v>1100000</v>
      </c>
      <c r="K118" s="280">
        <f t="shared" si="31"/>
        <v>4818611.5299999993</v>
      </c>
      <c r="L118" s="195"/>
    </row>
    <row r="119" spans="1:12" ht="18.75" customHeight="1" x14ac:dyDescent="0.3">
      <c r="A119" s="277" t="s">
        <v>236</v>
      </c>
      <c r="B119" s="136"/>
      <c r="C119" s="136"/>
      <c r="D119" s="136"/>
      <c r="E119" s="136"/>
      <c r="F119" s="136"/>
      <c r="G119" s="136"/>
      <c r="H119" s="136"/>
      <c r="I119" s="136"/>
      <c r="J119" s="136"/>
      <c r="K119" s="145"/>
      <c r="L119" s="136"/>
    </row>
    <row r="120" spans="1:12" ht="18.75" customHeight="1" x14ac:dyDescent="0.3">
      <c r="A120" s="330">
        <v>45385</v>
      </c>
      <c r="B120" s="136"/>
      <c r="C120" s="136"/>
      <c r="D120" s="136"/>
      <c r="E120" s="136"/>
      <c r="F120" s="136"/>
      <c r="G120" s="136"/>
      <c r="H120" s="136"/>
      <c r="I120" s="136"/>
      <c r="J120" s="136"/>
      <c r="K120" s="145"/>
      <c r="L120" s="319"/>
    </row>
    <row r="121" spans="1:12" ht="18.75" customHeight="1" x14ac:dyDescent="0.3">
      <c r="A121" s="330">
        <v>45392</v>
      </c>
      <c r="B121" s="136"/>
      <c r="C121" s="136"/>
      <c r="D121" s="136"/>
      <c r="E121" s="136"/>
      <c r="F121" s="136"/>
      <c r="G121" s="136"/>
      <c r="H121" s="136"/>
      <c r="I121" s="136"/>
      <c r="J121" s="136"/>
      <c r="K121" s="145"/>
      <c r="L121" s="332"/>
    </row>
    <row r="122" spans="1:12" ht="18.75" customHeight="1" x14ac:dyDescent="0.3">
      <c r="A122" s="330">
        <v>45405</v>
      </c>
      <c r="B122" s="136"/>
      <c r="C122" s="136"/>
      <c r="D122" s="136"/>
      <c r="E122" s="136"/>
      <c r="F122" s="136"/>
      <c r="G122" s="136"/>
      <c r="H122" s="136"/>
      <c r="I122" s="136"/>
      <c r="J122" s="136"/>
      <c r="K122" s="145"/>
      <c r="L122" s="332"/>
    </row>
    <row r="123" spans="1:12" ht="18.75" customHeight="1" x14ac:dyDescent="0.3">
      <c r="A123" s="330">
        <v>45405</v>
      </c>
      <c r="B123" s="136"/>
      <c r="C123" s="136"/>
      <c r="D123" s="136"/>
      <c r="E123" s="136"/>
      <c r="F123" s="136"/>
      <c r="G123" s="136"/>
      <c r="H123" s="136"/>
      <c r="I123" s="136"/>
      <c r="J123" s="136"/>
      <c r="K123" s="145"/>
      <c r="L123" s="319"/>
    </row>
    <row r="124" spans="1:12" ht="18.75" customHeight="1" x14ac:dyDescent="0.3">
      <c r="A124" s="330">
        <v>45406</v>
      </c>
      <c r="B124" s="136"/>
      <c r="C124" s="136"/>
      <c r="D124" s="136"/>
      <c r="E124" s="136"/>
      <c r="F124" s="136"/>
      <c r="G124" s="136"/>
      <c r="H124" s="136"/>
      <c r="I124" s="136"/>
      <c r="J124" s="136"/>
      <c r="K124" s="145"/>
      <c r="L124" s="319"/>
    </row>
    <row r="130" spans="1:12" ht="18.75" customHeight="1" x14ac:dyDescent="0.3">
      <c r="A130" s="311" t="s">
        <v>237</v>
      </c>
      <c r="B130" s="279">
        <f t="shared" ref="B130:J130" si="38">SUM(B119:B129)</f>
        <v>0</v>
      </c>
      <c r="C130" s="279">
        <f t="shared" si="38"/>
        <v>0</v>
      </c>
      <c r="D130" s="279">
        <f t="shared" ref="D130" si="39">SUM(D119:D129)</f>
        <v>0</v>
      </c>
      <c r="E130" s="279">
        <f t="shared" si="38"/>
        <v>0</v>
      </c>
      <c r="F130" s="279">
        <f t="shared" si="38"/>
        <v>0</v>
      </c>
      <c r="G130" s="279">
        <f t="shared" si="38"/>
        <v>0</v>
      </c>
      <c r="H130" s="279">
        <f t="shared" si="38"/>
        <v>0</v>
      </c>
      <c r="I130" s="279">
        <f t="shared" si="38"/>
        <v>0</v>
      </c>
      <c r="J130" s="279">
        <f t="shared" si="38"/>
        <v>0</v>
      </c>
      <c r="K130" s="280">
        <f>SUM(B130:J130)</f>
        <v>0</v>
      </c>
      <c r="L130" s="195"/>
    </row>
    <row r="131" spans="1:12" ht="18.75" customHeight="1" x14ac:dyDescent="0.3">
      <c r="A131" s="311" t="s">
        <v>238</v>
      </c>
      <c r="B131" s="279">
        <f t="shared" ref="B131:J131" si="40">SUM(B117+B130)</f>
        <v>1908667.52</v>
      </c>
      <c r="C131" s="279">
        <f t="shared" si="40"/>
        <v>200706.13999999998</v>
      </c>
      <c r="D131" s="279">
        <f t="shared" ref="D131" si="41">SUM(D117+D130)</f>
        <v>109967.17000000001</v>
      </c>
      <c r="E131" s="279">
        <f t="shared" si="40"/>
        <v>94447</v>
      </c>
      <c r="F131" s="279">
        <f t="shared" si="40"/>
        <v>0</v>
      </c>
      <c r="G131" s="279">
        <f t="shared" si="40"/>
        <v>26438.639999999999</v>
      </c>
      <c r="H131" s="279">
        <f t="shared" si="40"/>
        <v>0</v>
      </c>
      <c r="I131" s="279">
        <f t="shared" si="40"/>
        <v>305762</v>
      </c>
      <c r="J131" s="279">
        <f t="shared" si="40"/>
        <v>0</v>
      </c>
      <c r="K131" s="280">
        <f>SUM(B131:J131)</f>
        <v>2645988.4700000002</v>
      </c>
      <c r="L131" s="195"/>
    </row>
    <row r="132" spans="1:12" ht="18.75" customHeight="1" x14ac:dyDescent="0.3">
      <c r="A132" s="311" t="s">
        <v>239</v>
      </c>
      <c r="B132" s="279">
        <f t="shared" ref="B132:J132" si="42">SUM(B118-B130)</f>
        <v>1111132.48</v>
      </c>
      <c r="C132" s="279">
        <f t="shared" si="42"/>
        <v>-80906.14</v>
      </c>
      <c r="D132" s="279">
        <f t="shared" ref="D132" si="43">SUM(D118-D130)</f>
        <v>-69967.17</v>
      </c>
      <c r="E132" s="279">
        <f t="shared" si="42"/>
        <v>130553</v>
      </c>
      <c r="F132" s="279">
        <f t="shared" si="42"/>
        <v>1200000</v>
      </c>
      <c r="G132" s="279">
        <f t="shared" si="42"/>
        <v>73561.359999999986</v>
      </c>
      <c r="H132" s="279">
        <f t="shared" si="42"/>
        <v>164200</v>
      </c>
      <c r="I132" s="279">
        <f t="shared" si="42"/>
        <v>1190038</v>
      </c>
      <c r="J132" s="279">
        <f t="shared" si="42"/>
        <v>1100000</v>
      </c>
      <c r="K132" s="280">
        <f>SUM(B132:J132)</f>
        <v>4818611.5299999993</v>
      </c>
      <c r="L132" s="195"/>
    </row>
    <row r="133" spans="1:12" ht="18.75" customHeight="1" x14ac:dyDescent="0.3">
      <c r="A133" s="277" t="s">
        <v>240</v>
      </c>
      <c r="B133" s="136"/>
      <c r="C133" s="136"/>
      <c r="D133" s="136"/>
      <c r="E133" s="136"/>
      <c r="F133" s="136"/>
      <c r="G133" s="136"/>
      <c r="H133" s="136"/>
      <c r="I133" s="136"/>
      <c r="J133" s="136"/>
      <c r="K133" s="145"/>
      <c r="L133" s="136"/>
    </row>
    <row r="134" spans="1:12" ht="18.75" customHeight="1" x14ac:dyDescent="0.3">
      <c r="A134" s="330">
        <v>45425</v>
      </c>
      <c r="B134" s="136"/>
      <c r="C134" s="136"/>
      <c r="D134" s="136"/>
      <c r="E134" s="136"/>
      <c r="F134" s="136"/>
      <c r="G134" s="136"/>
      <c r="H134" s="136"/>
      <c r="I134" s="136"/>
      <c r="J134" s="136"/>
      <c r="K134" s="145"/>
      <c r="L134" s="319"/>
    </row>
    <row r="135" spans="1:12" ht="18.75" customHeight="1" x14ac:dyDescent="0.3">
      <c r="A135" s="330">
        <v>45427</v>
      </c>
      <c r="B135" s="136"/>
      <c r="C135" s="136"/>
      <c r="D135" s="136"/>
      <c r="E135" s="136"/>
      <c r="F135" s="136"/>
      <c r="G135" s="136"/>
      <c r="H135" s="136"/>
      <c r="I135" s="136"/>
      <c r="J135" s="136"/>
      <c r="K135" s="145"/>
      <c r="L135" s="332"/>
    </row>
    <row r="136" spans="1:12" ht="18.75" customHeight="1" x14ac:dyDescent="0.3">
      <c r="A136" s="330">
        <v>45429</v>
      </c>
      <c r="B136" s="136"/>
      <c r="C136" s="136"/>
      <c r="D136" s="136"/>
      <c r="E136" s="136"/>
      <c r="F136" s="136"/>
      <c r="G136" s="136"/>
      <c r="H136" s="136"/>
      <c r="I136" s="136"/>
      <c r="J136" s="136"/>
      <c r="K136" s="145"/>
      <c r="L136" s="332"/>
    </row>
    <row r="137" spans="1:12" ht="18.75" customHeight="1" x14ac:dyDescent="0.3">
      <c r="A137" s="330">
        <v>45432</v>
      </c>
      <c r="B137" s="136"/>
      <c r="C137" s="136"/>
      <c r="D137" s="136"/>
      <c r="E137" s="136"/>
      <c r="F137" s="136"/>
      <c r="G137" s="136"/>
      <c r="H137" s="136"/>
      <c r="I137" s="136"/>
      <c r="J137" s="136"/>
      <c r="K137" s="145"/>
      <c r="L137" s="319"/>
    </row>
    <row r="138" spans="1:12" ht="18.75" customHeight="1" x14ac:dyDescent="0.3">
      <c r="A138" s="330">
        <v>45432</v>
      </c>
      <c r="B138" s="136"/>
      <c r="C138" s="136"/>
      <c r="D138" s="136"/>
      <c r="E138" s="136"/>
      <c r="F138" s="136"/>
      <c r="G138" s="136"/>
      <c r="H138" s="136"/>
      <c r="I138" s="136"/>
      <c r="J138" s="136"/>
      <c r="K138" s="145"/>
      <c r="L138" s="319"/>
    </row>
    <row r="139" spans="1:12" ht="18.75" customHeight="1" x14ac:dyDescent="0.3">
      <c r="A139" s="330">
        <v>45432</v>
      </c>
      <c r="B139" s="136"/>
      <c r="C139" s="136"/>
      <c r="D139" s="136"/>
      <c r="E139" s="136"/>
      <c r="F139" s="136"/>
      <c r="G139" s="136"/>
      <c r="H139" s="136"/>
      <c r="I139" s="136"/>
      <c r="J139" s="136"/>
      <c r="K139" s="145"/>
      <c r="L139" s="319"/>
    </row>
    <row r="140" spans="1:12" ht="18.75" customHeight="1" x14ac:dyDescent="0.3">
      <c r="A140" s="330">
        <v>45432</v>
      </c>
      <c r="B140" s="136"/>
      <c r="C140" s="136"/>
      <c r="D140" s="136"/>
      <c r="E140" s="136"/>
      <c r="F140" s="136"/>
      <c r="G140" s="136"/>
      <c r="H140" s="136"/>
      <c r="I140" s="136"/>
      <c r="J140" s="136"/>
      <c r="K140" s="145"/>
      <c r="L140" s="332"/>
    </row>
    <row r="141" spans="1:12" ht="18.75" customHeight="1" x14ac:dyDescent="0.3">
      <c r="A141" s="330">
        <v>45432</v>
      </c>
      <c r="B141" s="136"/>
      <c r="C141" s="136"/>
      <c r="D141" s="136"/>
      <c r="E141" s="136"/>
      <c r="F141" s="136"/>
      <c r="G141" s="136"/>
      <c r="H141" s="136"/>
      <c r="I141" s="136"/>
      <c r="J141" s="136"/>
      <c r="K141" s="145"/>
      <c r="L141" s="332"/>
    </row>
    <row r="142" spans="1:12" ht="18.75" customHeight="1" x14ac:dyDescent="0.3">
      <c r="A142" s="330">
        <v>45435</v>
      </c>
      <c r="B142" s="136"/>
      <c r="C142" s="136"/>
      <c r="D142" s="136"/>
      <c r="E142" s="136"/>
      <c r="F142" s="136"/>
      <c r="G142" s="136"/>
      <c r="H142" s="136"/>
      <c r="I142" s="136"/>
      <c r="J142" s="136"/>
      <c r="K142" s="145"/>
      <c r="L142" s="319"/>
    </row>
    <row r="143" spans="1:12" ht="18.75" customHeight="1" x14ac:dyDescent="0.3">
      <c r="A143" s="330">
        <v>45435</v>
      </c>
      <c r="B143" s="136"/>
      <c r="C143" s="136"/>
      <c r="D143" s="136"/>
      <c r="E143" s="136"/>
      <c r="F143" s="136"/>
      <c r="G143" s="136"/>
      <c r="H143" s="136"/>
      <c r="I143" s="136"/>
      <c r="J143" s="136"/>
      <c r="K143" s="145"/>
      <c r="L143" s="319"/>
    </row>
    <row r="144" spans="1:12" ht="18.75" customHeight="1" x14ac:dyDescent="0.3">
      <c r="A144" s="330">
        <v>45436</v>
      </c>
      <c r="B144" s="136"/>
      <c r="C144" s="136"/>
      <c r="D144" s="136"/>
      <c r="E144" s="136"/>
      <c r="F144" s="136"/>
      <c r="G144" s="136"/>
      <c r="H144" s="136"/>
      <c r="I144" s="136"/>
      <c r="J144" s="136"/>
      <c r="K144" s="145"/>
      <c r="L144" s="319"/>
    </row>
    <row r="145" spans="1:12" ht="18.75" customHeight="1" x14ac:dyDescent="0.3">
      <c r="A145" s="330">
        <v>45436</v>
      </c>
      <c r="B145" s="136"/>
      <c r="C145" s="136"/>
      <c r="D145" s="136"/>
      <c r="E145" s="136"/>
      <c r="F145" s="136"/>
      <c r="G145" s="136"/>
      <c r="H145" s="136"/>
      <c r="I145" s="136"/>
      <c r="J145" s="136"/>
      <c r="K145" s="145"/>
      <c r="L145" s="319"/>
    </row>
    <row r="146" spans="1:12" ht="18.75" customHeight="1" x14ac:dyDescent="0.3">
      <c r="A146" s="330">
        <v>45440</v>
      </c>
      <c r="B146" s="136"/>
      <c r="C146" s="136"/>
      <c r="D146" s="136"/>
      <c r="E146" s="136"/>
      <c r="F146" s="136"/>
      <c r="G146" s="136"/>
      <c r="H146" s="136"/>
      <c r="I146" s="136"/>
      <c r="J146" s="136"/>
      <c r="K146" s="145"/>
      <c r="L146" s="319"/>
    </row>
    <row r="147" spans="1:12" ht="18.75" customHeight="1" x14ac:dyDescent="0.3">
      <c r="A147" s="330">
        <v>45440</v>
      </c>
      <c r="B147" s="136"/>
      <c r="C147" s="136"/>
      <c r="D147" s="136"/>
      <c r="E147" s="136"/>
      <c r="F147" s="136"/>
      <c r="G147" s="136"/>
      <c r="H147" s="136"/>
      <c r="I147" s="136"/>
      <c r="J147" s="136"/>
      <c r="K147" s="145"/>
      <c r="L147" s="319"/>
    </row>
    <row r="148" spans="1:12" ht="18.75" customHeight="1" x14ac:dyDescent="0.3">
      <c r="A148" s="330">
        <v>45440</v>
      </c>
      <c r="B148" s="136"/>
      <c r="C148" s="136"/>
      <c r="D148" s="136"/>
      <c r="E148" s="136"/>
      <c r="F148" s="136"/>
      <c r="G148" s="136"/>
      <c r="H148" s="136"/>
      <c r="I148" s="136"/>
      <c r="J148" s="136"/>
      <c r="K148" s="145"/>
      <c r="L148" s="319"/>
    </row>
    <row r="149" spans="1:12" ht="18.75" customHeight="1" x14ac:dyDescent="0.3">
      <c r="A149" s="278"/>
      <c r="B149" s="136"/>
      <c r="C149" s="136"/>
      <c r="D149" s="136"/>
      <c r="E149" s="136"/>
      <c r="F149" s="136"/>
      <c r="G149" s="136"/>
      <c r="H149" s="136"/>
      <c r="I149" s="136"/>
      <c r="J149" s="136"/>
      <c r="K149" s="145"/>
      <c r="L149" s="136"/>
    </row>
    <row r="150" spans="1:12" ht="18.75" customHeight="1" x14ac:dyDescent="0.3">
      <c r="A150" s="278"/>
      <c r="B150" s="136"/>
      <c r="C150" s="136"/>
      <c r="D150" s="136"/>
      <c r="E150" s="136"/>
      <c r="F150" s="136"/>
      <c r="G150" s="136"/>
      <c r="H150" s="136"/>
      <c r="I150" s="136"/>
      <c r="J150" s="136"/>
      <c r="K150" s="145"/>
      <c r="L150" s="136"/>
    </row>
    <row r="151" spans="1:12" ht="18.75" customHeight="1" x14ac:dyDescent="0.3">
      <c r="A151" s="278"/>
      <c r="B151" s="136"/>
      <c r="C151" s="136"/>
      <c r="D151" s="136"/>
      <c r="E151" s="136"/>
      <c r="F151" s="136"/>
      <c r="G151" s="136"/>
      <c r="H151" s="136"/>
      <c r="I151" s="136"/>
      <c r="J151" s="136"/>
      <c r="K151" s="145"/>
      <c r="L151" s="136"/>
    </row>
    <row r="152" spans="1:12" ht="18.75" customHeight="1" x14ac:dyDescent="0.3">
      <c r="A152" s="278"/>
      <c r="B152" s="136"/>
      <c r="C152" s="136"/>
      <c r="D152" s="136"/>
      <c r="E152" s="136"/>
      <c r="F152" s="136"/>
      <c r="G152" s="136"/>
      <c r="H152" s="136"/>
      <c r="I152" s="136"/>
      <c r="J152" s="136"/>
      <c r="K152" s="145"/>
      <c r="L152" s="136"/>
    </row>
    <row r="153" spans="1:12" ht="18.75" customHeight="1" x14ac:dyDescent="0.3">
      <c r="A153" s="311" t="s">
        <v>241</v>
      </c>
      <c r="B153" s="279">
        <f t="shared" ref="B153:J153" si="44">SUM(B133:B152)</f>
        <v>0</v>
      </c>
      <c r="C153" s="279">
        <f t="shared" si="44"/>
        <v>0</v>
      </c>
      <c r="D153" s="279">
        <f t="shared" ref="D153" si="45">SUM(D133:D152)</f>
        <v>0</v>
      </c>
      <c r="E153" s="279">
        <f t="shared" si="44"/>
        <v>0</v>
      </c>
      <c r="F153" s="279">
        <f t="shared" si="44"/>
        <v>0</v>
      </c>
      <c r="G153" s="279">
        <f t="shared" si="44"/>
        <v>0</v>
      </c>
      <c r="H153" s="279">
        <f t="shared" si="44"/>
        <v>0</v>
      </c>
      <c r="I153" s="279">
        <f t="shared" si="44"/>
        <v>0</v>
      </c>
      <c r="J153" s="279">
        <f t="shared" si="44"/>
        <v>0</v>
      </c>
      <c r="K153" s="280">
        <f t="shared" ref="K153:K170" si="46">SUM(B153:J153)</f>
        <v>0</v>
      </c>
      <c r="L153" s="195"/>
    </row>
    <row r="154" spans="1:12" ht="18.75" customHeight="1" x14ac:dyDescent="0.3">
      <c r="A154" s="311" t="s">
        <v>242</v>
      </c>
      <c r="B154" s="279">
        <f t="shared" ref="B154:J154" si="47">SUM(B131+B153)</f>
        <v>1908667.52</v>
      </c>
      <c r="C154" s="279">
        <f t="shared" si="47"/>
        <v>200706.13999999998</v>
      </c>
      <c r="D154" s="279">
        <f t="shared" ref="D154" si="48">SUM(D131+D153)</f>
        <v>109967.17000000001</v>
      </c>
      <c r="E154" s="279">
        <f t="shared" si="47"/>
        <v>94447</v>
      </c>
      <c r="F154" s="279">
        <f t="shared" si="47"/>
        <v>0</v>
      </c>
      <c r="G154" s="279">
        <f t="shared" si="47"/>
        <v>26438.639999999999</v>
      </c>
      <c r="H154" s="279">
        <f t="shared" si="47"/>
        <v>0</v>
      </c>
      <c r="I154" s="279">
        <f t="shared" si="47"/>
        <v>305762</v>
      </c>
      <c r="J154" s="279">
        <f t="shared" si="47"/>
        <v>0</v>
      </c>
      <c r="K154" s="280">
        <f t="shared" si="46"/>
        <v>2645988.4700000002</v>
      </c>
      <c r="L154" s="195"/>
    </row>
    <row r="155" spans="1:12" ht="18.75" customHeight="1" x14ac:dyDescent="0.3">
      <c r="A155" s="311" t="s">
        <v>243</v>
      </c>
      <c r="B155" s="279">
        <f>SUM(B132-B153)</f>
        <v>1111132.48</v>
      </c>
      <c r="C155" s="279">
        <f>SUM(C132-C153)</f>
        <v>-80906.14</v>
      </c>
      <c r="D155" s="279">
        <f>SUM(D132-D153)</f>
        <v>-69967.17</v>
      </c>
      <c r="E155" s="279">
        <f>SUM(E132-E153)</f>
        <v>130553</v>
      </c>
      <c r="F155" s="279">
        <f>SUM(F132-F153)</f>
        <v>1200000</v>
      </c>
      <c r="G155" s="279">
        <f t="shared" ref="G155" si="49">SUM(G132-G153)</f>
        <v>73561.359999999986</v>
      </c>
      <c r="H155" s="279">
        <f>SUM(H132-H153)</f>
        <v>164200</v>
      </c>
      <c r="I155" s="279">
        <f>SUM(I132-I153)</f>
        <v>1190038</v>
      </c>
      <c r="J155" s="279">
        <f>SUM(J132-J153)</f>
        <v>1100000</v>
      </c>
      <c r="K155" s="280">
        <f t="shared" si="46"/>
        <v>4818611.5299999993</v>
      </c>
      <c r="L155" s="195"/>
    </row>
    <row r="156" spans="1:12" ht="18.75" customHeight="1" x14ac:dyDescent="0.3">
      <c r="A156" s="277" t="s">
        <v>244</v>
      </c>
      <c r="B156" s="136"/>
      <c r="C156" s="136"/>
      <c r="D156" s="136"/>
      <c r="E156" s="136"/>
      <c r="F156" s="136"/>
      <c r="G156" s="136"/>
      <c r="H156" s="136"/>
      <c r="I156" s="136"/>
      <c r="J156" s="136"/>
      <c r="K156" s="145">
        <f t="shared" si="46"/>
        <v>0</v>
      </c>
      <c r="L156" s="136"/>
    </row>
    <row r="157" spans="1:12" ht="18.75" customHeight="1" x14ac:dyDescent="0.3">
      <c r="A157" s="278">
        <v>45479</v>
      </c>
      <c r="B157" s="136"/>
      <c r="C157" s="136"/>
      <c r="D157" s="136"/>
      <c r="E157" s="136"/>
      <c r="F157" s="136"/>
      <c r="G157" s="136"/>
      <c r="H157" s="136"/>
      <c r="I157" s="136"/>
      <c r="J157" s="136"/>
      <c r="K157" s="145">
        <f t="shared" si="46"/>
        <v>0</v>
      </c>
      <c r="L157" s="136"/>
    </row>
    <row r="158" spans="1:12" ht="18.75" customHeight="1" x14ac:dyDescent="0.3">
      <c r="A158" s="326" t="s">
        <v>320</v>
      </c>
      <c r="B158" s="136"/>
      <c r="C158" s="136"/>
      <c r="D158" s="136"/>
      <c r="E158" s="136"/>
      <c r="F158" s="136"/>
      <c r="G158" s="136"/>
      <c r="H158" s="136"/>
      <c r="I158" s="136"/>
      <c r="J158" s="136"/>
      <c r="K158" s="145">
        <f t="shared" si="46"/>
        <v>0</v>
      </c>
      <c r="L158" s="333"/>
    </row>
    <row r="159" spans="1:12" ht="18.75" customHeight="1" x14ac:dyDescent="0.3">
      <c r="A159" s="326" t="s">
        <v>263</v>
      </c>
      <c r="B159" s="136"/>
      <c r="C159" s="136"/>
      <c r="D159" s="136"/>
      <c r="E159" s="136"/>
      <c r="F159" s="136"/>
      <c r="G159" s="136"/>
      <c r="H159" s="136"/>
      <c r="I159" s="136"/>
      <c r="J159" s="136"/>
      <c r="K159" s="145">
        <f t="shared" si="46"/>
        <v>0</v>
      </c>
      <c r="L159" s="333"/>
    </row>
    <row r="160" spans="1:12" ht="18.75" customHeight="1" x14ac:dyDescent="0.3">
      <c r="A160" s="326" t="s">
        <v>773</v>
      </c>
      <c r="B160" s="136"/>
      <c r="C160" s="136"/>
      <c r="D160" s="136"/>
      <c r="E160" s="136"/>
      <c r="F160" s="136"/>
      <c r="G160" s="136"/>
      <c r="H160" s="136"/>
      <c r="I160" s="136"/>
      <c r="J160" s="136"/>
      <c r="K160" s="145">
        <f t="shared" si="46"/>
        <v>0</v>
      </c>
      <c r="L160" s="333"/>
    </row>
    <row r="161" spans="1:12" ht="18.75" customHeight="1" x14ac:dyDescent="0.3">
      <c r="A161" s="326" t="s">
        <v>773</v>
      </c>
      <c r="B161" s="136"/>
      <c r="C161" s="136"/>
      <c r="D161" s="136"/>
      <c r="E161" s="136"/>
      <c r="F161" s="136"/>
      <c r="G161" s="136"/>
      <c r="H161" s="136"/>
      <c r="I161" s="136"/>
      <c r="J161" s="136"/>
      <c r="K161" s="145">
        <f t="shared" si="46"/>
        <v>0</v>
      </c>
      <c r="L161" s="333"/>
    </row>
    <row r="162" spans="1:12" ht="18.75" customHeight="1" x14ac:dyDescent="0.3">
      <c r="A162" s="326" t="s">
        <v>774</v>
      </c>
      <c r="B162" s="136"/>
      <c r="C162" s="136"/>
      <c r="D162" s="136"/>
      <c r="E162" s="136"/>
      <c r="F162" s="136"/>
      <c r="G162" s="136"/>
      <c r="H162" s="136"/>
      <c r="I162" s="136"/>
      <c r="J162" s="136"/>
      <c r="K162" s="145">
        <f t="shared" si="46"/>
        <v>0</v>
      </c>
      <c r="L162" s="136"/>
    </row>
    <row r="163" spans="1:12" ht="18.75" customHeight="1" x14ac:dyDescent="0.3">
      <c r="A163" s="326">
        <v>45467</v>
      </c>
      <c r="B163" s="136"/>
      <c r="C163" s="136"/>
      <c r="D163" s="136"/>
      <c r="E163" s="136"/>
      <c r="F163" s="136"/>
      <c r="G163" s="136"/>
      <c r="H163" s="136"/>
      <c r="I163" s="136"/>
      <c r="J163" s="136"/>
      <c r="K163" s="145">
        <f t="shared" si="46"/>
        <v>0</v>
      </c>
      <c r="L163" s="136"/>
    </row>
    <row r="164" spans="1:12" ht="18.75" customHeight="1" x14ac:dyDescent="0.3">
      <c r="A164" s="326">
        <v>45467</v>
      </c>
      <c r="B164" s="136"/>
      <c r="C164" s="136"/>
      <c r="D164" s="136"/>
      <c r="E164" s="136"/>
      <c r="F164" s="136"/>
      <c r="G164" s="136"/>
      <c r="H164" s="136"/>
      <c r="I164" s="136"/>
      <c r="J164" s="136"/>
      <c r="K164" s="145">
        <f t="shared" si="46"/>
        <v>0</v>
      </c>
      <c r="L164" s="136"/>
    </row>
    <row r="165" spans="1:12" ht="18.75" customHeight="1" x14ac:dyDescent="0.3">
      <c r="A165" s="326">
        <v>45469</v>
      </c>
      <c r="B165" s="136"/>
      <c r="C165" s="136"/>
      <c r="D165" s="136"/>
      <c r="E165" s="136"/>
      <c r="F165" s="136"/>
      <c r="G165" s="136"/>
      <c r="H165" s="136"/>
      <c r="I165" s="136"/>
      <c r="J165" s="136"/>
      <c r="K165" s="145">
        <f t="shared" si="46"/>
        <v>0</v>
      </c>
      <c r="L165" s="136"/>
    </row>
    <row r="166" spans="1:12" ht="18.75" customHeight="1" x14ac:dyDescent="0.3">
      <c r="A166" s="326">
        <v>45469</v>
      </c>
      <c r="B166" s="136"/>
      <c r="C166" s="136"/>
      <c r="D166" s="136"/>
      <c r="E166" s="136"/>
      <c r="F166" s="136"/>
      <c r="G166" s="136"/>
      <c r="H166" s="136"/>
      <c r="I166" s="136"/>
      <c r="J166" s="136"/>
      <c r="K166" s="145">
        <f t="shared" si="46"/>
        <v>0</v>
      </c>
      <c r="L166" s="136"/>
    </row>
    <row r="167" spans="1:12" ht="18.75" customHeight="1" x14ac:dyDescent="0.3">
      <c r="A167" s="326"/>
      <c r="B167" s="136"/>
      <c r="C167" s="136"/>
      <c r="D167" s="136"/>
      <c r="E167" s="136"/>
      <c r="F167" s="136"/>
      <c r="G167" s="136"/>
      <c r="H167" s="136"/>
      <c r="I167" s="136"/>
      <c r="J167" s="136"/>
      <c r="K167" s="145">
        <f t="shared" si="46"/>
        <v>0</v>
      </c>
      <c r="L167" s="136"/>
    </row>
    <row r="168" spans="1:12" ht="18.75" customHeight="1" x14ac:dyDescent="0.3">
      <c r="A168" s="326"/>
      <c r="B168" s="136"/>
      <c r="C168" s="136"/>
      <c r="D168" s="136"/>
      <c r="E168" s="136"/>
      <c r="F168" s="136"/>
      <c r="G168" s="136"/>
      <c r="H168" s="136"/>
      <c r="I168" s="136"/>
      <c r="J168" s="136"/>
      <c r="K168" s="145">
        <f t="shared" si="46"/>
        <v>0</v>
      </c>
      <c r="L168" s="136"/>
    </row>
    <row r="169" spans="1:12" ht="18.75" customHeight="1" x14ac:dyDescent="0.3">
      <c r="A169" s="278" t="s">
        <v>75</v>
      </c>
      <c r="B169" s="136"/>
      <c r="C169" s="136"/>
      <c r="D169" s="136"/>
      <c r="E169" s="136"/>
      <c r="F169" s="136"/>
      <c r="G169" s="136"/>
      <c r="H169" s="136"/>
      <c r="I169" s="136"/>
      <c r="J169" s="136"/>
      <c r="K169" s="145">
        <f t="shared" si="46"/>
        <v>0</v>
      </c>
      <c r="L169" s="136"/>
    </row>
    <row r="170" spans="1:12" ht="18.75" customHeight="1" x14ac:dyDescent="0.3">
      <c r="A170" s="278"/>
      <c r="B170" s="136"/>
      <c r="C170" s="136"/>
      <c r="D170" s="136"/>
      <c r="E170" s="136"/>
      <c r="F170" s="136"/>
      <c r="G170" s="136"/>
      <c r="H170" s="136"/>
      <c r="I170" s="136"/>
      <c r="J170" s="136"/>
      <c r="K170" s="145">
        <f t="shared" si="46"/>
        <v>0</v>
      </c>
      <c r="L170" s="136"/>
    </row>
    <row r="171" spans="1:12" ht="18.75" customHeight="1" x14ac:dyDescent="0.3">
      <c r="A171" s="278"/>
      <c r="B171" s="136"/>
      <c r="C171" s="136"/>
      <c r="D171" s="136"/>
      <c r="E171" s="136"/>
      <c r="F171" s="136"/>
      <c r="G171" s="136"/>
      <c r="H171" s="136"/>
      <c r="I171" s="136"/>
      <c r="J171" s="136"/>
      <c r="K171" s="145"/>
      <c r="L171" s="136"/>
    </row>
    <row r="172" spans="1:12" ht="18.75" customHeight="1" x14ac:dyDescent="0.3">
      <c r="A172" s="311" t="s">
        <v>245</v>
      </c>
      <c r="B172" s="279">
        <f t="shared" ref="B172:J172" si="50">SUM(B156:B171)</f>
        <v>0</v>
      </c>
      <c r="C172" s="279">
        <f t="shared" si="50"/>
        <v>0</v>
      </c>
      <c r="D172" s="279">
        <f t="shared" ref="D172" si="51">SUM(D156:D171)</f>
        <v>0</v>
      </c>
      <c r="E172" s="279">
        <f t="shared" si="50"/>
        <v>0</v>
      </c>
      <c r="F172" s="279">
        <f t="shared" si="50"/>
        <v>0</v>
      </c>
      <c r="G172" s="279">
        <f t="shared" si="50"/>
        <v>0</v>
      </c>
      <c r="H172" s="279">
        <f t="shared" si="50"/>
        <v>0</v>
      </c>
      <c r="I172" s="279">
        <f t="shared" si="50"/>
        <v>0</v>
      </c>
      <c r="J172" s="279">
        <f t="shared" si="50"/>
        <v>0</v>
      </c>
      <c r="K172" s="280">
        <f>SUM(B172:J172)</f>
        <v>0</v>
      </c>
      <c r="L172" s="195"/>
    </row>
    <row r="173" spans="1:12" ht="18.75" customHeight="1" x14ac:dyDescent="0.3">
      <c r="A173" s="311" t="s">
        <v>246</v>
      </c>
      <c r="B173" s="279">
        <f t="shared" ref="B173:J173" si="52">SUM(B154+B172)</f>
        <v>1908667.52</v>
      </c>
      <c r="C173" s="279">
        <f t="shared" si="52"/>
        <v>200706.13999999998</v>
      </c>
      <c r="D173" s="279">
        <f t="shared" ref="D173" si="53">SUM(D154+D172)</f>
        <v>109967.17000000001</v>
      </c>
      <c r="E173" s="279">
        <f t="shared" si="52"/>
        <v>94447</v>
      </c>
      <c r="F173" s="279">
        <f t="shared" si="52"/>
        <v>0</v>
      </c>
      <c r="G173" s="279">
        <f t="shared" si="52"/>
        <v>26438.639999999999</v>
      </c>
      <c r="H173" s="279">
        <f t="shared" si="52"/>
        <v>0</v>
      </c>
      <c r="I173" s="279">
        <f t="shared" si="52"/>
        <v>305762</v>
      </c>
      <c r="J173" s="279">
        <f t="shared" si="52"/>
        <v>0</v>
      </c>
      <c r="K173" s="280">
        <f>SUM(B173:J173)</f>
        <v>2645988.4700000002</v>
      </c>
      <c r="L173" s="195"/>
    </row>
    <row r="174" spans="1:12" ht="18.75" customHeight="1" x14ac:dyDescent="0.3">
      <c r="A174" s="311" t="s">
        <v>247</v>
      </c>
      <c r="B174" s="279">
        <f t="shared" ref="B174:J174" si="54">SUM(B155-B172)</f>
        <v>1111132.48</v>
      </c>
      <c r="C174" s="279">
        <f t="shared" si="54"/>
        <v>-80906.14</v>
      </c>
      <c r="D174" s="279">
        <f t="shared" ref="D174" si="55">SUM(D155-D172)</f>
        <v>-69967.17</v>
      </c>
      <c r="E174" s="279">
        <f t="shared" si="54"/>
        <v>130553</v>
      </c>
      <c r="F174" s="279">
        <f t="shared" si="54"/>
        <v>1200000</v>
      </c>
      <c r="G174" s="279">
        <f t="shared" si="54"/>
        <v>73561.359999999986</v>
      </c>
      <c r="H174" s="279">
        <f t="shared" si="54"/>
        <v>164200</v>
      </c>
      <c r="I174" s="279">
        <f t="shared" si="54"/>
        <v>1190038</v>
      </c>
      <c r="J174" s="279">
        <f t="shared" si="54"/>
        <v>1100000</v>
      </c>
      <c r="K174" s="280">
        <f>SUM(B174:J174)</f>
        <v>4818611.5299999993</v>
      </c>
      <c r="L174" s="195"/>
    </row>
    <row r="175" spans="1:12" ht="18.75" customHeight="1" x14ac:dyDescent="0.3">
      <c r="A175" s="277" t="s">
        <v>248</v>
      </c>
      <c r="B175" s="136"/>
      <c r="C175" s="136"/>
      <c r="D175" s="136"/>
      <c r="E175" s="136"/>
      <c r="F175" s="136"/>
      <c r="G175" s="136"/>
      <c r="H175" s="136"/>
      <c r="I175" s="136"/>
      <c r="J175" s="136"/>
      <c r="K175" s="145"/>
      <c r="L175" s="136"/>
    </row>
    <row r="176" spans="1:12" ht="18.75" customHeight="1" x14ac:dyDescent="0.3">
      <c r="A176" s="278">
        <v>45474</v>
      </c>
      <c r="B176" s="136"/>
      <c r="C176" s="136"/>
      <c r="D176" s="136"/>
      <c r="E176" s="136"/>
      <c r="F176" s="136"/>
      <c r="G176" s="136"/>
      <c r="H176" s="136"/>
      <c r="I176" s="136"/>
      <c r="J176" s="136"/>
      <c r="K176" s="145">
        <f t="shared" ref="K176:K186" si="56">SUM(B176:J176)</f>
        <v>0</v>
      </c>
      <c r="L176" s="136"/>
    </row>
    <row r="177" spans="1:12" ht="18.75" customHeight="1" x14ac:dyDescent="0.3">
      <c r="A177" s="278">
        <v>45477</v>
      </c>
      <c r="B177" s="136"/>
      <c r="C177" s="136"/>
      <c r="D177" s="136"/>
      <c r="E177" s="136"/>
      <c r="F177" s="136"/>
      <c r="G177" s="136"/>
      <c r="H177" s="136"/>
      <c r="I177" s="136"/>
      <c r="J177" s="136"/>
      <c r="K177" s="145">
        <f t="shared" si="56"/>
        <v>0</v>
      </c>
      <c r="L177" s="136"/>
    </row>
    <row r="178" spans="1:12" ht="18.75" customHeight="1" x14ac:dyDescent="0.3">
      <c r="A178" s="278">
        <v>45489</v>
      </c>
      <c r="B178" s="136"/>
      <c r="C178" s="136"/>
      <c r="D178" s="136"/>
      <c r="E178" s="136"/>
      <c r="F178" s="136"/>
      <c r="G178" s="136"/>
      <c r="H178" s="136"/>
      <c r="I178" s="136"/>
      <c r="J178" s="136"/>
      <c r="K178" s="145">
        <f t="shared" si="56"/>
        <v>0</v>
      </c>
      <c r="L178" s="136"/>
    </row>
    <row r="179" spans="1:12" ht="18.75" customHeight="1" x14ac:dyDescent="0.3">
      <c r="A179" s="278">
        <v>45489</v>
      </c>
      <c r="B179" s="136"/>
      <c r="C179" s="136"/>
      <c r="D179" s="136"/>
      <c r="E179" s="136"/>
      <c r="F179" s="136"/>
      <c r="G179" s="136"/>
      <c r="H179" s="136"/>
      <c r="I179" s="136"/>
      <c r="J179" s="136"/>
      <c r="K179" s="145">
        <f t="shared" si="56"/>
        <v>0</v>
      </c>
      <c r="L179" s="136"/>
    </row>
    <row r="180" spans="1:12" ht="18.75" customHeight="1" x14ac:dyDescent="0.3">
      <c r="A180" s="278">
        <v>45490</v>
      </c>
      <c r="B180" s="136"/>
      <c r="C180" s="136"/>
      <c r="D180" s="136"/>
      <c r="E180" s="136"/>
      <c r="F180" s="136"/>
      <c r="G180" s="136"/>
      <c r="H180" s="136"/>
      <c r="I180" s="136"/>
      <c r="J180" s="136"/>
      <c r="K180" s="145">
        <f t="shared" si="56"/>
        <v>0</v>
      </c>
      <c r="L180" s="136"/>
    </row>
    <row r="181" spans="1:12" ht="18.75" customHeight="1" x14ac:dyDescent="0.3">
      <c r="A181" s="278">
        <v>45492</v>
      </c>
      <c r="B181" s="136"/>
      <c r="C181" s="136"/>
      <c r="D181" s="136"/>
      <c r="E181" s="136"/>
      <c r="F181" s="136"/>
      <c r="G181" s="136"/>
      <c r="H181" s="136"/>
      <c r="I181" s="136"/>
      <c r="J181" s="136"/>
      <c r="K181" s="145">
        <f t="shared" si="56"/>
        <v>0</v>
      </c>
      <c r="L181" s="136"/>
    </row>
    <row r="182" spans="1:12" ht="18.75" customHeight="1" x14ac:dyDescent="0.3">
      <c r="A182" s="278">
        <v>45492</v>
      </c>
      <c r="B182" s="136"/>
      <c r="C182" s="136"/>
      <c r="D182" s="136"/>
      <c r="E182" s="136"/>
      <c r="F182" s="136"/>
      <c r="G182" s="136"/>
      <c r="H182" s="136"/>
      <c r="I182" s="136"/>
      <c r="J182" s="136"/>
      <c r="K182" s="145">
        <f t="shared" si="56"/>
        <v>0</v>
      </c>
      <c r="L182" s="136"/>
    </row>
    <row r="183" spans="1:12" ht="18.75" customHeight="1" x14ac:dyDescent="0.3">
      <c r="A183" s="278">
        <v>45496</v>
      </c>
      <c r="B183" s="136"/>
      <c r="C183" s="136"/>
      <c r="D183" s="136"/>
      <c r="E183" s="136"/>
      <c r="F183" s="136"/>
      <c r="G183" s="136"/>
      <c r="H183" s="136"/>
      <c r="I183" s="136"/>
      <c r="J183" s="136"/>
      <c r="K183" s="145">
        <f t="shared" si="56"/>
        <v>0</v>
      </c>
      <c r="L183" s="136"/>
    </row>
    <row r="184" spans="1:12" ht="18.75" customHeight="1" x14ac:dyDescent="0.3">
      <c r="A184" s="278">
        <v>45503</v>
      </c>
      <c r="B184" s="136"/>
      <c r="C184" s="136"/>
      <c r="D184" s="136"/>
      <c r="E184" s="136"/>
      <c r="F184" s="136"/>
      <c r="G184" s="136"/>
      <c r="H184" s="136"/>
      <c r="I184" s="136"/>
      <c r="J184" s="136"/>
      <c r="K184" s="145">
        <f t="shared" si="56"/>
        <v>0</v>
      </c>
      <c r="L184" s="136"/>
    </row>
    <row r="185" spans="1:12" ht="18.75" customHeight="1" x14ac:dyDescent="0.3">
      <c r="A185" s="278">
        <v>45503</v>
      </c>
      <c r="B185" s="136"/>
      <c r="C185" s="136"/>
      <c r="D185" s="136"/>
      <c r="E185" s="136"/>
      <c r="F185" s="136"/>
      <c r="G185" s="136"/>
      <c r="H185" s="136"/>
      <c r="I185" s="136"/>
      <c r="J185" s="136"/>
      <c r="K185" s="145">
        <f t="shared" si="56"/>
        <v>0</v>
      </c>
      <c r="L185" s="136"/>
    </row>
    <row r="186" spans="1:12" ht="18.75" customHeight="1" x14ac:dyDescent="0.3">
      <c r="A186" s="278">
        <v>45504</v>
      </c>
      <c r="B186" s="136"/>
      <c r="C186" s="136"/>
      <c r="D186" s="136"/>
      <c r="E186" s="136"/>
      <c r="F186" s="136"/>
      <c r="G186" s="136"/>
      <c r="H186" s="136"/>
      <c r="I186" s="136"/>
      <c r="J186" s="136"/>
      <c r="K186" s="145">
        <f t="shared" si="56"/>
        <v>0</v>
      </c>
      <c r="L186" s="136"/>
    </row>
    <row r="194" spans="1:12" ht="18.75" customHeight="1" x14ac:dyDescent="0.3">
      <c r="A194" s="311" t="s">
        <v>249</v>
      </c>
      <c r="B194" s="279">
        <f t="shared" ref="B194:J194" si="57">SUM(B175:B193)</f>
        <v>0</v>
      </c>
      <c r="C194" s="279">
        <f t="shared" si="57"/>
        <v>0</v>
      </c>
      <c r="D194" s="279">
        <f t="shared" ref="D194" si="58">SUM(D175:D193)</f>
        <v>0</v>
      </c>
      <c r="E194" s="279">
        <f t="shared" si="57"/>
        <v>0</v>
      </c>
      <c r="F194" s="279">
        <f t="shared" si="57"/>
        <v>0</v>
      </c>
      <c r="G194" s="279">
        <f t="shared" si="57"/>
        <v>0</v>
      </c>
      <c r="H194" s="279">
        <f t="shared" si="57"/>
        <v>0</v>
      </c>
      <c r="I194" s="279">
        <f t="shared" si="57"/>
        <v>0</v>
      </c>
      <c r="J194" s="279">
        <f t="shared" si="57"/>
        <v>0</v>
      </c>
      <c r="K194" s="280">
        <f>SUM(B194:J194)</f>
        <v>0</v>
      </c>
      <c r="L194" s="195"/>
    </row>
    <row r="195" spans="1:12" ht="18.75" customHeight="1" x14ac:dyDescent="0.3">
      <c r="A195" s="311" t="s">
        <v>250</v>
      </c>
      <c r="B195" s="279">
        <f t="shared" ref="B195:J195" si="59">SUM(B173+B194)</f>
        <v>1908667.52</v>
      </c>
      <c r="C195" s="279">
        <f t="shared" si="59"/>
        <v>200706.13999999998</v>
      </c>
      <c r="D195" s="279">
        <f t="shared" ref="D195" si="60">SUM(D173+D194)</f>
        <v>109967.17000000001</v>
      </c>
      <c r="E195" s="279">
        <f t="shared" si="59"/>
        <v>94447</v>
      </c>
      <c r="F195" s="279">
        <f t="shared" si="59"/>
        <v>0</v>
      </c>
      <c r="G195" s="279">
        <f t="shared" si="59"/>
        <v>26438.639999999999</v>
      </c>
      <c r="H195" s="279">
        <f t="shared" si="59"/>
        <v>0</v>
      </c>
      <c r="I195" s="279">
        <f t="shared" si="59"/>
        <v>305762</v>
      </c>
      <c r="J195" s="279">
        <f t="shared" si="59"/>
        <v>0</v>
      </c>
      <c r="K195" s="280">
        <f>SUM(B195:J195)</f>
        <v>2645988.4700000002</v>
      </c>
      <c r="L195" s="195"/>
    </row>
    <row r="196" spans="1:12" ht="18.75" customHeight="1" x14ac:dyDescent="0.3">
      <c r="A196" s="311" t="s">
        <v>251</v>
      </c>
      <c r="B196" s="279">
        <f t="shared" ref="B196:J196" si="61">SUM(B174-B194)</f>
        <v>1111132.48</v>
      </c>
      <c r="C196" s="279">
        <f t="shared" si="61"/>
        <v>-80906.14</v>
      </c>
      <c r="D196" s="279">
        <f t="shared" ref="D196" si="62">SUM(D174-D194)</f>
        <v>-69967.17</v>
      </c>
      <c r="E196" s="279">
        <f t="shared" si="61"/>
        <v>130553</v>
      </c>
      <c r="F196" s="279">
        <f t="shared" si="61"/>
        <v>1200000</v>
      </c>
      <c r="G196" s="279">
        <f t="shared" si="61"/>
        <v>73561.359999999986</v>
      </c>
      <c r="H196" s="279">
        <f t="shared" si="61"/>
        <v>164200</v>
      </c>
      <c r="I196" s="279">
        <f t="shared" si="61"/>
        <v>1190038</v>
      </c>
      <c r="J196" s="279">
        <f t="shared" si="61"/>
        <v>1100000</v>
      </c>
      <c r="K196" s="280">
        <f>SUM(B196:J196)</f>
        <v>4818611.5299999993</v>
      </c>
      <c r="L196" s="195"/>
    </row>
    <row r="197" spans="1:12" ht="18.75" customHeight="1" x14ac:dyDescent="0.3">
      <c r="A197" s="277" t="s">
        <v>252</v>
      </c>
      <c r="B197" s="136"/>
      <c r="C197" s="136"/>
      <c r="D197" s="136"/>
      <c r="E197" s="136"/>
      <c r="F197" s="136"/>
      <c r="G197" s="136"/>
      <c r="H197" s="136"/>
      <c r="I197" s="136"/>
      <c r="J197" s="136"/>
      <c r="K197" s="145"/>
      <c r="L197" s="136"/>
    </row>
    <row r="198" spans="1:12" ht="18.75" customHeight="1" x14ac:dyDescent="0.3">
      <c r="A198" s="278">
        <v>45505</v>
      </c>
      <c r="B198" s="136"/>
      <c r="C198" s="136"/>
      <c r="D198" s="136"/>
      <c r="E198" s="136"/>
      <c r="F198" s="136"/>
      <c r="G198" s="136"/>
      <c r="H198" s="136"/>
      <c r="I198" s="136"/>
      <c r="J198" s="136"/>
      <c r="K198" s="145">
        <f t="shared" ref="K198:K209" si="63">SUM(B198:J198)</f>
        <v>0</v>
      </c>
      <c r="L198" s="136"/>
    </row>
    <row r="199" spans="1:12" ht="18.75" customHeight="1" x14ac:dyDescent="0.3">
      <c r="A199" s="278">
        <v>45524</v>
      </c>
      <c r="B199" s="136"/>
      <c r="C199" s="136"/>
      <c r="D199" s="136"/>
      <c r="E199" s="136"/>
      <c r="F199" s="136"/>
      <c r="G199" s="136"/>
      <c r="H199" s="136"/>
      <c r="I199" s="136"/>
      <c r="J199" s="136"/>
      <c r="K199" s="145">
        <f t="shared" si="63"/>
        <v>0</v>
      </c>
      <c r="L199" s="285"/>
    </row>
    <row r="200" spans="1:12" ht="18.75" customHeight="1" x14ac:dyDescent="0.3">
      <c r="A200" s="278">
        <v>45525</v>
      </c>
      <c r="B200" s="136"/>
      <c r="C200" s="136"/>
      <c r="D200" s="136"/>
      <c r="E200" s="136"/>
      <c r="F200" s="136"/>
      <c r="G200" s="136"/>
      <c r="H200" s="136"/>
      <c r="I200" s="136"/>
      <c r="J200" s="136"/>
      <c r="K200" s="145">
        <f t="shared" si="63"/>
        <v>0</v>
      </c>
      <c r="L200" s="285"/>
    </row>
    <row r="201" spans="1:12" ht="18.75" customHeight="1" x14ac:dyDescent="0.3">
      <c r="A201" s="278">
        <v>45525</v>
      </c>
      <c r="B201" s="136"/>
      <c r="C201" s="136"/>
      <c r="D201" s="136"/>
      <c r="E201" s="136"/>
      <c r="F201" s="136"/>
      <c r="G201" s="136"/>
      <c r="H201" s="136"/>
      <c r="I201" s="136"/>
      <c r="J201" s="136"/>
      <c r="K201" s="145">
        <f t="shared" si="63"/>
        <v>0</v>
      </c>
      <c r="L201" s="136"/>
    </row>
    <row r="202" spans="1:12" ht="18.75" customHeight="1" x14ac:dyDescent="0.3">
      <c r="A202" s="278">
        <v>45526</v>
      </c>
      <c r="B202" s="136"/>
      <c r="C202" s="136"/>
      <c r="D202" s="136"/>
      <c r="E202" s="136"/>
      <c r="F202" s="136"/>
      <c r="G202" s="136"/>
      <c r="H202" s="136"/>
      <c r="I202" s="136"/>
      <c r="J202" s="136"/>
      <c r="K202" s="145">
        <f t="shared" si="63"/>
        <v>0</v>
      </c>
      <c r="L202" s="136"/>
    </row>
    <row r="203" spans="1:12" ht="18.75" customHeight="1" x14ac:dyDescent="0.3">
      <c r="A203" s="278">
        <v>45527</v>
      </c>
      <c r="B203" s="136"/>
      <c r="C203" s="136"/>
      <c r="D203" s="136"/>
      <c r="E203" s="136"/>
      <c r="F203" s="136"/>
      <c r="G203" s="136"/>
      <c r="H203" s="136"/>
      <c r="I203" s="136"/>
      <c r="J203" s="136"/>
      <c r="K203" s="145">
        <f t="shared" si="63"/>
        <v>0</v>
      </c>
      <c r="L203" s="136"/>
    </row>
    <row r="204" spans="1:12" ht="18.75" customHeight="1" x14ac:dyDescent="0.3">
      <c r="A204" s="278">
        <v>45527</v>
      </c>
      <c r="B204" s="136"/>
      <c r="C204" s="136"/>
      <c r="D204" s="136"/>
      <c r="E204" s="136"/>
      <c r="F204" s="136"/>
      <c r="G204" s="136"/>
      <c r="H204" s="136"/>
      <c r="I204" s="136"/>
      <c r="J204" s="136"/>
      <c r="K204" s="145">
        <f t="shared" si="63"/>
        <v>0</v>
      </c>
      <c r="L204" s="285"/>
    </row>
    <row r="205" spans="1:12" ht="18.75" customHeight="1" x14ac:dyDescent="0.3">
      <c r="A205" s="278">
        <v>45531</v>
      </c>
      <c r="B205" s="136"/>
      <c r="C205" s="136"/>
      <c r="D205" s="136"/>
      <c r="E205" s="136"/>
      <c r="F205" s="136"/>
      <c r="G205" s="136"/>
      <c r="H205" s="136"/>
      <c r="I205" s="136"/>
      <c r="J205" s="136"/>
      <c r="K205" s="145">
        <f t="shared" si="63"/>
        <v>0</v>
      </c>
      <c r="L205" s="285"/>
    </row>
    <row r="206" spans="1:12" ht="18.75" customHeight="1" x14ac:dyDescent="0.3">
      <c r="A206" s="278">
        <v>45531</v>
      </c>
      <c r="B206" s="136"/>
      <c r="C206" s="136"/>
      <c r="D206" s="136"/>
      <c r="E206" s="136"/>
      <c r="F206" s="136"/>
      <c r="G206" s="136"/>
      <c r="H206" s="136"/>
      <c r="I206" s="136"/>
      <c r="J206" s="136"/>
      <c r="K206" s="145">
        <f t="shared" si="63"/>
        <v>0</v>
      </c>
      <c r="L206" s="136"/>
    </row>
    <row r="207" spans="1:12" ht="18.75" customHeight="1" x14ac:dyDescent="0.3">
      <c r="A207" s="278">
        <v>45532</v>
      </c>
      <c r="B207" s="136"/>
      <c r="C207" s="136"/>
      <c r="D207" s="136"/>
      <c r="E207" s="136"/>
      <c r="F207" s="136"/>
      <c r="G207" s="136"/>
      <c r="H207" s="136"/>
      <c r="I207" s="136"/>
      <c r="J207" s="136"/>
      <c r="K207" s="145">
        <f t="shared" si="63"/>
        <v>0</v>
      </c>
      <c r="L207" s="285"/>
    </row>
    <row r="208" spans="1:12" ht="18.75" customHeight="1" x14ac:dyDescent="0.3">
      <c r="A208" s="278">
        <v>45532</v>
      </c>
      <c r="B208" s="136"/>
      <c r="C208" s="136"/>
      <c r="D208" s="136"/>
      <c r="E208" s="136"/>
      <c r="F208" s="136"/>
      <c r="G208" s="136"/>
      <c r="H208" s="136"/>
      <c r="I208" s="136"/>
      <c r="J208" s="136"/>
      <c r="K208" s="145">
        <f t="shared" si="63"/>
        <v>0</v>
      </c>
      <c r="L208" s="136"/>
    </row>
    <row r="209" spans="1:12" ht="18.75" customHeight="1" x14ac:dyDescent="0.3">
      <c r="A209" s="278"/>
      <c r="B209" s="136"/>
      <c r="C209" s="136"/>
      <c r="D209" s="136"/>
      <c r="E209" s="136"/>
      <c r="F209" s="136"/>
      <c r="G209" s="136"/>
      <c r="H209" s="136"/>
      <c r="I209" s="136"/>
      <c r="J209" s="136"/>
      <c r="K209" s="145">
        <f t="shared" si="63"/>
        <v>0</v>
      </c>
      <c r="L209" s="136"/>
    </row>
    <row r="212" spans="1:12" ht="18.75" customHeight="1" x14ac:dyDescent="0.3">
      <c r="A212" s="311" t="s">
        <v>253</v>
      </c>
      <c r="B212" s="279">
        <f t="shared" ref="B212:J212" si="64">SUM(B197:B211)</f>
        <v>0</v>
      </c>
      <c r="C212" s="279">
        <f t="shared" si="64"/>
        <v>0</v>
      </c>
      <c r="D212" s="279">
        <f t="shared" ref="D212" si="65">SUM(D197:D211)</f>
        <v>0</v>
      </c>
      <c r="E212" s="279">
        <f t="shared" si="64"/>
        <v>0</v>
      </c>
      <c r="F212" s="279">
        <f t="shared" si="64"/>
        <v>0</v>
      </c>
      <c r="G212" s="279">
        <f t="shared" si="64"/>
        <v>0</v>
      </c>
      <c r="H212" s="279">
        <f t="shared" si="64"/>
        <v>0</v>
      </c>
      <c r="I212" s="279">
        <f t="shared" si="64"/>
        <v>0</v>
      </c>
      <c r="J212" s="279">
        <f t="shared" si="64"/>
        <v>0</v>
      </c>
      <c r="K212" s="280">
        <f>SUM(B212:J212)</f>
        <v>0</v>
      </c>
      <c r="L212" s="195"/>
    </row>
    <row r="213" spans="1:12" ht="18.75" customHeight="1" x14ac:dyDescent="0.3">
      <c r="A213" s="311" t="s">
        <v>254</v>
      </c>
      <c r="B213" s="279">
        <f t="shared" ref="B213:J213" si="66">SUM(B195+B212)</f>
        <v>1908667.52</v>
      </c>
      <c r="C213" s="279">
        <f t="shared" si="66"/>
        <v>200706.13999999998</v>
      </c>
      <c r="D213" s="279">
        <f t="shared" ref="D213" si="67">SUM(D195+D212)</f>
        <v>109967.17000000001</v>
      </c>
      <c r="E213" s="279">
        <f t="shared" si="66"/>
        <v>94447</v>
      </c>
      <c r="F213" s="279">
        <f t="shared" si="66"/>
        <v>0</v>
      </c>
      <c r="G213" s="279">
        <f t="shared" si="66"/>
        <v>26438.639999999999</v>
      </c>
      <c r="H213" s="279">
        <f t="shared" si="66"/>
        <v>0</v>
      </c>
      <c r="I213" s="279">
        <f t="shared" si="66"/>
        <v>305762</v>
      </c>
      <c r="J213" s="279">
        <f t="shared" si="66"/>
        <v>0</v>
      </c>
      <c r="K213" s="280">
        <f>SUM(B213:J213)</f>
        <v>2645988.4700000002</v>
      </c>
      <c r="L213" s="195"/>
    </row>
    <row r="214" spans="1:12" ht="18.75" customHeight="1" x14ac:dyDescent="0.3">
      <c r="A214" s="311" t="s">
        <v>255</v>
      </c>
      <c r="B214" s="279">
        <f t="shared" ref="B214:J214" si="68">SUM(B196-B212)</f>
        <v>1111132.48</v>
      </c>
      <c r="C214" s="279">
        <f t="shared" si="68"/>
        <v>-80906.14</v>
      </c>
      <c r="D214" s="279">
        <f t="shared" ref="D214" si="69">SUM(D196-D212)</f>
        <v>-69967.17</v>
      </c>
      <c r="E214" s="279">
        <f t="shared" si="68"/>
        <v>130553</v>
      </c>
      <c r="F214" s="279">
        <f t="shared" si="68"/>
        <v>1200000</v>
      </c>
      <c r="G214" s="279">
        <f t="shared" si="68"/>
        <v>73561.359999999986</v>
      </c>
      <c r="H214" s="279">
        <f t="shared" si="68"/>
        <v>164200</v>
      </c>
      <c r="I214" s="279">
        <f t="shared" si="68"/>
        <v>1190038</v>
      </c>
      <c r="J214" s="279">
        <f t="shared" si="68"/>
        <v>1100000</v>
      </c>
      <c r="K214" s="280">
        <f>SUM(B214:J214)</f>
        <v>4818611.5299999993</v>
      </c>
      <c r="L214" s="195"/>
    </row>
    <row r="215" spans="1:12" ht="18.75" customHeight="1" x14ac:dyDescent="0.3">
      <c r="A215" s="277" t="s">
        <v>256</v>
      </c>
      <c r="B215" s="136"/>
      <c r="C215" s="136"/>
      <c r="D215" s="136"/>
      <c r="E215" s="136"/>
      <c r="F215" s="136"/>
      <c r="G215" s="136"/>
      <c r="H215" s="136"/>
      <c r="I215" s="136"/>
      <c r="J215" s="136"/>
      <c r="K215" s="145"/>
      <c r="L215" s="136"/>
    </row>
    <row r="216" spans="1:12" ht="18.75" customHeight="1" x14ac:dyDescent="0.3">
      <c r="A216" s="278">
        <v>45553</v>
      </c>
      <c r="B216" s="136"/>
      <c r="C216" s="136"/>
      <c r="D216" s="136"/>
      <c r="E216" s="136"/>
      <c r="F216" s="136"/>
      <c r="G216" s="136"/>
      <c r="H216" s="136"/>
      <c r="I216" s="136"/>
      <c r="J216" s="136"/>
      <c r="K216" s="661">
        <f t="shared" ref="K216:K237" si="70">SUM(B216:J216)</f>
        <v>0</v>
      </c>
      <c r="L216" s="136"/>
    </row>
    <row r="217" spans="1:12" ht="18.75" customHeight="1" x14ac:dyDescent="0.3">
      <c r="A217" s="278">
        <v>45553</v>
      </c>
      <c r="B217" s="136"/>
      <c r="C217" s="136"/>
      <c r="D217" s="136"/>
      <c r="E217" s="136"/>
      <c r="F217" s="136"/>
      <c r="G217" s="136"/>
      <c r="H217" s="136"/>
      <c r="I217" s="136"/>
      <c r="J217" s="136"/>
      <c r="K217" s="661">
        <f t="shared" si="70"/>
        <v>0</v>
      </c>
      <c r="L217" s="136"/>
    </row>
    <row r="218" spans="1:12" ht="18.75" customHeight="1" x14ac:dyDescent="0.3">
      <c r="A218" s="278">
        <v>45554</v>
      </c>
      <c r="B218" s="136"/>
      <c r="C218" s="136"/>
      <c r="D218" s="136"/>
      <c r="E218" s="136"/>
      <c r="F218" s="136"/>
      <c r="G218" s="136"/>
      <c r="H218" s="136"/>
      <c r="I218" s="136"/>
      <c r="J218" s="136"/>
      <c r="K218" s="661">
        <f t="shared" si="70"/>
        <v>0</v>
      </c>
      <c r="L218" s="136"/>
    </row>
    <row r="219" spans="1:12" ht="18.75" customHeight="1" x14ac:dyDescent="0.3">
      <c r="A219" s="278">
        <v>45558</v>
      </c>
      <c r="B219" s="136"/>
      <c r="C219" s="136"/>
      <c r="D219" s="136"/>
      <c r="E219" s="136"/>
      <c r="F219" s="136"/>
      <c r="G219" s="136"/>
      <c r="H219" s="136"/>
      <c r="I219" s="136"/>
      <c r="J219" s="136"/>
      <c r="K219" s="661">
        <f t="shared" si="70"/>
        <v>0</v>
      </c>
      <c r="L219" s="136"/>
    </row>
    <row r="220" spans="1:12" ht="18.75" customHeight="1" x14ac:dyDescent="0.3">
      <c r="A220" s="278">
        <v>45560</v>
      </c>
      <c r="B220" s="136"/>
      <c r="C220" s="136"/>
      <c r="D220" s="136"/>
      <c r="E220" s="136"/>
      <c r="F220" s="136"/>
      <c r="G220" s="136"/>
      <c r="H220" s="136"/>
      <c r="I220" s="136"/>
      <c r="J220" s="136"/>
      <c r="K220" s="661">
        <f t="shared" si="70"/>
        <v>0</v>
      </c>
      <c r="L220" s="42"/>
    </row>
    <row r="221" spans="1:12" ht="18.75" customHeight="1" x14ac:dyDescent="0.3">
      <c r="A221" s="278">
        <v>45560</v>
      </c>
      <c r="B221" s="136"/>
      <c r="C221" s="136"/>
      <c r="D221" s="136"/>
      <c r="E221" s="136"/>
      <c r="F221" s="136"/>
      <c r="G221" s="136"/>
      <c r="H221" s="136"/>
      <c r="I221" s="136"/>
      <c r="J221" s="136"/>
      <c r="K221" s="661">
        <f t="shared" si="70"/>
        <v>0</v>
      </c>
      <c r="L221" s="42"/>
    </row>
    <row r="222" spans="1:12" ht="18.75" customHeight="1" x14ac:dyDescent="0.3">
      <c r="A222" s="278">
        <v>45560</v>
      </c>
      <c r="B222" s="136"/>
      <c r="C222" s="136"/>
      <c r="D222" s="136"/>
      <c r="E222" s="136"/>
      <c r="F222" s="136"/>
      <c r="G222" s="136"/>
      <c r="H222" s="136"/>
      <c r="I222" s="136"/>
      <c r="J222" s="136"/>
      <c r="K222" s="661">
        <f t="shared" si="70"/>
        <v>0</v>
      </c>
      <c r="L222" s="42"/>
    </row>
    <row r="223" spans="1:12" ht="18.75" customHeight="1" x14ac:dyDescent="0.3">
      <c r="A223" s="278">
        <v>45565</v>
      </c>
      <c r="B223" s="136"/>
      <c r="C223" s="136"/>
      <c r="D223" s="136"/>
      <c r="E223" s="136"/>
      <c r="F223" s="136"/>
      <c r="G223" s="136"/>
      <c r="H223" s="136"/>
      <c r="I223" s="136"/>
      <c r="J223" s="136"/>
      <c r="K223" s="661">
        <f t="shared" si="70"/>
        <v>0</v>
      </c>
      <c r="L223" s="42"/>
    </row>
    <row r="224" spans="1:12" ht="18.75" customHeight="1" x14ac:dyDescent="0.3">
      <c r="A224" s="278">
        <v>45565</v>
      </c>
      <c r="B224" s="136"/>
      <c r="C224" s="136"/>
      <c r="D224" s="136"/>
      <c r="E224" s="136"/>
      <c r="F224" s="136"/>
      <c r="G224" s="136"/>
      <c r="H224" s="136"/>
      <c r="I224" s="136"/>
      <c r="J224" s="136"/>
      <c r="K224" s="661">
        <f t="shared" si="70"/>
        <v>0</v>
      </c>
      <c r="L224" s="136"/>
    </row>
    <row r="225" spans="1:12" ht="18.75" customHeight="1" x14ac:dyDescent="0.3">
      <c r="A225" s="278">
        <v>45565</v>
      </c>
      <c r="B225" s="136"/>
      <c r="C225" s="136"/>
      <c r="D225" s="136"/>
      <c r="E225" s="136"/>
      <c r="F225" s="136"/>
      <c r="G225" s="136"/>
      <c r="H225" s="136"/>
      <c r="I225" s="136"/>
      <c r="J225" s="136"/>
      <c r="K225" s="661">
        <f t="shared" si="70"/>
        <v>0</v>
      </c>
      <c r="L225" s="136"/>
    </row>
    <row r="226" spans="1:12" ht="18.75" customHeight="1" x14ac:dyDescent="0.3">
      <c r="A226" s="278"/>
      <c r="B226" s="136"/>
      <c r="C226" s="136"/>
      <c r="D226" s="136"/>
      <c r="E226" s="136"/>
      <c r="F226" s="136"/>
      <c r="G226" s="136"/>
      <c r="H226" s="136"/>
      <c r="I226" s="136"/>
      <c r="J226" s="136"/>
      <c r="K226" s="661">
        <f t="shared" si="70"/>
        <v>0</v>
      </c>
      <c r="L226" s="195"/>
    </row>
    <row r="227" spans="1:12" ht="18.75" customHeight="1" x14ac:dyDescent="0.3">
      <c r="A227" s="278"/>
      <c r="B227" s="136"/>
      <c r="C227" s="136"/>
      <c r="D227" s="136"/>
      <c r="E227" s="136"/>
      <c r="F227" s="136"/>
      <c r="G227" s="136"/>
      <c r="H227" s="136"/>
      <c r="I227" s="136"/>
      <c r="J227" s="136"/>
      <c r="K227" s="661">
        <f t="shared" si="70"/>
        <v>0</v>
      </c>
      <c r="L227" s="136"/>
    </row>
    <row r="228" spans="1:12" ht="18.75" customHeight="1" x14ac:dyDescent="0.3">
      <c r="A228" s="278"/>
      <c r="B228" s="136"/>
      <c r="C228" s="136"/>
      <c r="D228" s="136"/>
      <c r="E228" s="136"/>
      <c r="F228" s="136"/>
      <c r="G228" s="136"/>
      <c r="H228" s="136"/>
      <c r="I228" s="136"/>
      <c r="J228" s="136"/>
      <c r="K228" s="661">
        <f t="shared" si="70"/>
        <v>0</v>
      </c>
      <c r="L228" s="136"/>
    </row>
    <row r="229" spans="1:12" ht="18.75" customHeight="1" x14ac:dyDescent="0.3">
      <c r="A229" s="278"/>
      <c r="B229" s="136"/>
      <c r="C229" s="136"/>
      <c r="D229" s="136"/>
      <c r="E229" s="136"/>
      <c r="F229" s="136"/>
      <c r="G229" s="136"/>
      <c r="H229" s="136"/>
      <c r="I229" s="136"/>
      <c r="J229" s="136"/>
      <c r="K229" s="661">
        <f t="shared" si="70"/>
        <v>0</v>
      </c>
      <c r="L229" s="136"/>
    </row>
    <row r="230" spans="1:12" ht="18.75" customHeight="1" x14ac:dyDescent="0.3">
      <c r="A230" s="278"/>
      <c r="B230" s="136"/>
      <c r="C230" s="136"/>
      <c r="D230" s="136"/>
      <c r="E230" s="136"/>
      <c r="F230" s="136"/>
      <c r="G230" s="136"/>
      <c r="H230" s="136"/>
      <c r="I230" s="136"/>
      <c r="J230" s="136"/>
      <c r="K230" s="661">
        <f t="shared" si="70"/>
        <v>0</v>
      </c>
      <c r="L230" s="136"/>
    </row>
    <row r="231" spans="1:12" ht="18.75" customHeight="1" x14ac:dyDescent="0.3">
      <c r="A231" s="278"/>
      <c r="B231" s="136"/>
      <c r="C231" s="136"/>
      <c r="D231" s="136"/>
      <c r="E231" s="136"/>
      <c r="F231" s="136"/>
      <c r="G231" s="136"/>
      <c r="H231" s="136"/>
      <c r="I231" s="136"/>
      <c r="J231" s="136"/>
      <c r="K231" s="661">
        <f t="shared" si="70"/>
        <v>0</v>
      </c>
      <c r="L231" s="136"/>
    </row>
    <row r="232" spans="1:12" ht="18.75" customHeight="1" x14ac:dyDescent="0.3">
      <c r="A232" s="278"/>
      <c r="B232" s="136"/>
      <c r="C232" s="136"/>
      <c r="D232" s="136"/>
      <c r="E232" s="136"/>
      <c r="F232" s="136"/>
      <c r="G232" s="136"/>
      <c r="H232" s="136"/>
      <c r="I232" s="136"/>
      <c r="J232" s="136"/>
      <c r="K232" s="661">
        <f t="shared" si="70"/>
        <v>0</v>
      </c>
      <c r="L232" s="136"/>
    </row>
    <row r="233" spans="1:12" ht="18.75" customHeight="1" x14ac:dyDescent="0.3">
      <c r="A233" s="278"/>
      <c r="B233" s="136"/>
      <c r="C233" s="136"/>
      <c r="D233" s="136"/>
      <c r="E233" s="136"/>
      <c r="F233" s="136"/>
      <c r="G233" s="136"/>
      <c r="H233" s="136"/>
      <c r="I233" s="136"/>
      <c r="J233" s="136"/>
      <c r="K233" s="661">
        <f t="shared" si="70"/>
        <v>0</v>
      </c>
      <c r="L233" s="136"/>
    </row>
    <row r="234" spans="1:12" ht="18.75" customHeight="1" x14ac:dyDescent="0.3">
      <c r="A234" s="278"/>
      <c r="B234" s="136"/>
      <c r="C234" s="136"/>
      <c r="D234" s="136"/>
      <c r="E234" s="136"/>
      <c r="F234" s="136"/>
      <c r="G234" s="136"/>
      <c r="H234" s="136"/>
      <c r="I234" s="136"/>
      <c r="J234" s="136"/>
      <c r="K234" s="661">
        <f t="shared" si="70"/>
        <v>0</v>
      </c>
      <c r="L234" s="136"/>
    </row>
    <row r="235" spans="1:12" ht="18.75" customHeight="1" x14ac:dyDescent="0.3">
      <c r="A235" s="278"/>
      <c r="B235" s="136"/>
      <c r="C235" s="136"/>
      <c r="D235" s="136"/>
      <c r="E235" s="136"/>
      <c r="F235" s="136"/>
      <c r="G235" s="136"/>
      <c r="H235" s="136"/>
      <c r="I235" s="136"/>
      <c r="J235" s="136"/>
      <c r="K235" s="661">
        <f t="shared" si="70"/>
        <v>0</v>
      </c>
      <c r="L235" s="136"/>
    </row>
    <row r="236" spans="1:12" ht="18.75" customHeight="1" x14ac:dyDescent="0.3">
      <c r="A236" s="278"/>
      <c r="B236" s="136"/>
      <c r="C236" s="136"/>
      <c r="D236" s="136"/>
      <c r="E236" s="136"/>
      <c r="F236" s="136"/>
      <c r="G236" s="136"/>
      <c r="H236" s="136"/>
      <c r="I236" s="136"/>
      <c r="J236" s="136"/>
      <c r="K236" s="661">
        <f t="shared" si="70"/>
        <v>0</v>
      </c>
      <c r="L236" s="136"/>
    </row>
    <row r="237" spans="1:12" ht="18.75" customHeight="1" x14ac:dyDescent="0.3">
      <c r="A237" s="278"/>
      <c r="B237" s="136"/>
      <c r="C237" s="136"/>
      <c r="D237" s="136"/>
      <c r="E237" s="136"/>
      <c r="F237" s="136"/>
      <c r="G237" s="136"/>
      <c r="H237" s="136"/>
      <c r="I237" s="136"/>
      <c r="J237" s="136"/>
      <c r="K237" s="661">
        <f t="shared" si="70"/>
        <v>0</v>
      </c>
      <c r="L237" s="136"/>
    </row>
    <row r="238" spans="1:12" ht="18.75" customHeight="1" x14ac:dyDescent="0.3">
      <c r="A238" s="278"/>
      <c r="B238" s="136"/>
      <c r="C238" s="136"/>
      <c r="D238" s="136"/>
      <c r="E238" s="136"/>
      <c r="F238" s="136"/>
      <c r="G238" s="136"/>
      <c r="H238" s="136"/>
      <c r="I238" s="136"/>
      <c r="J238" s="136"/>
      <c r="K238" s="145"/>
      <c r="L238" s="136"/>
    </row>
    <row r="239" spans="1:12" ht="18.75" customHeight="1" x14ac:dyDescent="0.3">
      <c r="A239" s="311" t="s">
        <v>257</v>
      </c>
      <c r="B239" s="279">
        <f t="shared" ref="B239:J239" si="71">SUM(B215:B238)</f>
        <v>0</v>
      </c>
      <c r="C239" s="279">
        <f t="shared" si="71"/>
        <v>0</v>
      </c>
      <c r="D239" s="279">
        <f t="shared" ref="D239" si="72">SUM(D215:D238)</f>
        <v>0</v>
      </c>
      <c r="E239" s="279">
        <f t="shared" si="71"/>
        <v>0</v>
      </c>
      <c r="F239" s="279">
        <f t="shared" si="71"/>
        <v>0</v>
      </c>
      <c r="G239" s="279">
        <f t="shared" si="71"/>
        <v>0</v>
      </c>
      <c r="H239" s="279">
        <f t="shared" si="71"/>
        <v>0</v>
      </c>
      <c r="I239" s="279">
        <f t="shared" si="71"/>
        <v>0</v>
      </c>
      <c r="J239" s="279">
        <f t="shared" si="71"/>
        <v>0</v>
      </c>
      <c r="K239" s="280">
        <f>SUM(B239:J239)</f>
        <v>0</v>
      </c>
      <c r="L239" s="195"/>
    </row>
    <row r="240" spans="1:12" ht="18.75" customHeight="1" x14ac:dyDescent="0.3">
      <c r="A240" s="311" t="s">
        <v>258</v>
      </c>
      <c r="B240" s="279">
        <f t="shared" ref="B240:J240" si="73">SUM(B213+B239)</f>
        <v>1908667.52</v>
      </c>
      <c r="C240" s="279">
        <f t="shared" si="73"/>
        <v>200706.13999999998</v>
      </c>
      <c r="D240" s="279">
        <f t="shared" ref="D240" si="74">SUM(D213+D239)</f>
        <v>109967.17000000001</v>
      </c>
      <c r="E240" s="279">
        <f t="shared" si="73"/>
        <v>94447</v>
      </c>
      <c r="F240" s="279">
        <f t="shared" si="73"/>
        <v>0</v>
      </c>
      <c r="G240" s="279">
        <f t="shared" si="73"/>
        <v>26438.639999999999</v>
      </c>
      <c r="H240" s="279">
        <f t="shared" si="73"/>
        <v>0</v>
      </c>
      <c r="I240" s="279">
        <f t="shared" si="73"/>
        <v>305762</v>
      </c>
      <c r="J240" s="279">
        <f t="shared" si="73"/>
        <v>0</v>
      </c>
      <c r="K240" s="280">
        <f>SUM(B240:J240)</f>
        <v>2645988.4700000002</v>
      </c>
      <c r="L240" s="195"/>
    </row>
    <row r="241" spans="1:12" ht="18.75" customHeight="1" x14ac:dyDescent="0.3">
      <c r="A241" s="311" t="s">
        <v>259</v>
      </c>
      <c r="B241" s="279">
        <f t="shared" ref="B241:J241" si="75">SUM(B214-B239)</f>
        <v>1111132.48</v>
      </c>
      <c r="C241" s="279">
        <f t="shared" si="75"/>
        <v>-80906.14</v>
      </c>
      <c r="D241" s="279">
        <f t="shared" ref="D241" si="76">SUM(D214-D239)</f>
        <v>-69967.17</v>
      </c>
      <c r="E241" s="279">
        <f t="shared" si="75"/>
        <v>130553</v>
      </c>
      <c r="F241" s="279">
        <f t="shared" si="75"/>
        <v>1200000</v>
      </c>
      <c r="G241" s="279">
        <f t="shared" si="75"/>
        <v>73561.359999999986</v>
      </c>
      <c r="H241" s="279">
        <f t="shared" si="75"/>
        <v>164200</v>
      </c>
      <c r="I241" s="279">
        <f t="shared" si="75"/>
        <v>1190038</v>
      </c>
      <c r="J241" s="279">
        <f t="shared" si="75"/>
        <v>1100000</v>
      </c>
      <c r="K241" s="280">
        <f>SUM(B241:J241)</f>
        <v>4818611.5299999993</v>
      </c>
      <c r="L241" s="195"/>
    </row>
  </sheetData>
  <autoFilter ref="A2:L241" xr:uid="{00000000-0009-0000-0000-000013000000}"/>
  <conditionalFormatting sqref="J106:J139 K106:AA143 E106:I143 A1:AA2 A3:D38 D39 A39:B39 E3:AA54 E71:AA105 A40:D143 E55:K70 M55:AA70">
    <cfRule type="cellIs" dxfId="212" priority="8" stopIfTrue="1" operator="lessThan">
      <formula>0</formula>
    </cfRule>
  </conditionalFormatting>
  <conditionalFormatting sqref="K54:K73">
    <cfRule type="cellIs" dxfId="211" priority="9" stopIfTrue="1" operator="lessThan">
      <formula>0</formula>
    </cfRule>
  </conditionalFormatting>
  <conditionalFormatting sqref="K134:L152">
    <cfRule type="cellIs" dxfId="210" priority="10" stopIfTrue="1" operator="lessThan">
      <formula>0</formula>
    </cfRule>
  </conditionalFormatting>
  <conditionalFormatting sqref="L38:L44">
    <cfRule type="cellIs" dxfId="209" priority="11" stopIfTrue="1" operator="lessThan">
      <formula>0</formula>
    </cfRule>
  </conditionalFormatting>
  <conditionalFormatting sqref="L54">
    <cfRule type="cellIs" dxfId="208" priority="12" stopIfTrue="1" operator="lessThan">
      <formula>0</formula>
    </cfRule>
  </conditionalFormatting>
  <conditionalFormatting sqref="L78:L86">
    <cfRule type="cellIs" dxfId="207" priority="13" stopIfTrue="1" operator="lessThan">
      <formula>0</formula>
    </cfRule>
  </conditionalFormatting>
  <conditionalFormatting sqref="L176:L193">
    <cfRule type="cellIs" dxfId="206" priority="14" stopIfTrue="1" operator="lessThan">
      <formula>0</formula>
    </cfRule>
  </conditionalFormatting>
  <conditionalFormatting sqref="L220:L223">
    <cfRule type="cellIs" dxfId="205" priority="4" stopIfTrue="1" operator="lessThan">
      <formula>0</formula>
    </cfRule>
  </conditionalFormatting>
  <conditionalFormatting sqref="L55">
    <cfRule type="cellIs" dxfId="204" priority="3" stopIfTrue="1" operator="lessThan">
      <formula>0</formula>
    </cfRule>
  </conditionalFormatting>
  <conditionalFormatting sqref="L56">
    <cfRule type="cellIs" dxfId="203" priority="2" stopIfTrue="1" operator="lessThan">
      <formula>0</formula>
    </cfRule>
  </conditionalFormatting>
  <conditionalFormatting sqref="L57:L70">
    <cfRule type="cellIs" dxfId="202" priority="1" stopIfTrue="1" operator="lessThan">
      <formula>0</formula>
    </cfRule>
  </conditionalFormatting>
  <pageMargins left="0.7" right="0.7" top="0.75" bottom="0.75" header="0" footer="0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281"/>
  <sheetViews>
    <sheetView workbookViewId="0">
      <pane xSplit="1" ySplit="5" topLeftCell="B41" activePane="bottomRight" state="frozen"/>
      <selection activeCell="E13" sqref="E13"/>
      <selection pane="topRight" activeCell="E13" sqref="E13"/>
      <selection pane="bottomLeft" activeCell="E13" sqref="E13"/>
      <selection pane="bottomRight" activeCell="P44" sqref="P44"/>
    </sheetView>
  </sheetViews>
  <sheetFormatPr defaultColWidth="14.42578125" defaultRowHeight="15" customHeight="1" x14ac:dyDescent="0.3"/>
  <cols>
    <col min="1" max="1" width="18.42578125" style="137" customWidth="1"/>
    <col min="2" max="2" width="18.85546875" style="137" customWidth="1"/>
    <col min="3" max="3" width="17.7109375" style="137" customWidth="1"/>
    <col min="4" max="6" width="16.140625" style="137" customWidth="1"/>
    <col min="7" max="8" width="15.7109375" style="137" customWidth="1"/>
    <col min="9" max="9" width="14.7109375" style="137" customWidth="1"/>
    <col min="10" max="10" width="12.7109375" style="137" customWidth="1"/>
    <col min="11" max="26" width="8.7109375" style="137" customWidth="1"/>
    <col min="27" max="16384" width="14.42578125" style="137"/>
  </cols>
  <sheetData>
    <row r="1" spans="1:10" ht="18.75" customHeight="1" x14ac:dyDescent="0.3">
      <c r="A1" s="307" t="s">
        <v>155</v>
      </c>
      <c r="B1" s="274"/>
      <c r="C1" s="274"/>
      <c r="D1" s="274"/>
      <c r="E1" s="274"/>
      <c r="F1" s="274"/>
      <c r="G1" s="274" t="s">
        <v>75</v>
      </c>
      <c r="H1" s="274" t="s">
        <v>75</v>
      </c>
      <c r="I1" s="274"/>
      <c r="J1" s="308"/>
    </row>
    <row r="2" spans="1:10" ht="18.75" customHeight="1" x14ac:dyDescent="0.3">
      <c r="A2" s="307"/>
      <c r="B2" s="274" t="str">
        <f>'ใบกัน 500'!E2</f>
        <v>วัสดุสนง.
อื่นๆ</v>
      </c>
      <c r="C2" s="964" t="str">
        <f>'ใบกัน 500'!F2</f>
        <v>วัสดุน้ำมัน เชื้อเพลิง</v>
      </c>
      <c r="D2" s="964" t="str">
        <f>'ใบกัน 500'!G2</f>
        <v>วัสดุงานบ้านงานครัว</v>
      </c>
      <c r="E2" s="964" t="str">
        <f>'ใบกัน 500'!H2</f>
        <v>วัสดุไฟฟ้าและวิทยุ</v>
      </c>
      <c r="F2" s="964" t="str">
        <f>'ใบกัน 500'!I2</f>
        <v>วัสดุคอมพิวเตอร์</v>
      </c>
      <c r="G2" s="964" t="str">
        <f>'ใบกัน 500'!J2</f>
        <v>วัสดุยานพาหนะ</v>
      </c>
      <c r="H2" s="964" t="str">
        <f>'ใบกัน 500'!K2</f>
        <v>วัสดุหนังสือ</v>
      </c>
      <c r="I2" s="274" t="s">
        <v>208</v>
      </c>
      <c r="J2" s="308"/>
    </row>
    <row r="3" spans="1:10" ht="18.75" customHeight="1" x14ac:dyDescent="0.3">
      <c r="A3" s="309" t="s">
        <v>209</v>
      </c>
      <c r="B3" s="145">
        <v>0</v>
      </c>
      <c r="C3" s="145">
        <v>0</v>
      </c>
      <c r="D3" s="145">
        <v>0</v>
      </c>
      <c r="E3" s="145">
        <v>0</v>
      </c>
      <c r="F3" s="145">
        <v>0</v>
      </c>
      <c r="G3" s="145">
        <v>0</v>
      </c>
      <c r="H3" s="145">
        <v>0</v>
      </c>
      <c r="I3" s="145">
        <f>SUM(B3:H3)</f>
        <v>0</v>
      </c>
      <c r="J3" s="308"/>
    </row>
    <row r="4" spans="1:10" ht="18.75" customHeight="1" x14ac:dyDescent="0.3">
      <c r="A4" s="309" t="s">
        <v>210</v>
      </c>
      <c r="B4" s="145">
        <f>+'ใบกัน 500'!E4</f>
        <v>1700000</v>
      </c>
      <c r="C4" s="145">
        <f>+'ใบกัน 500'!F4</f>
        <v>150000</v>
      </c>
      <c r="D4" s="145">
        <f>+'ใบกัน 500'!G4</f>
        <v>0</v>
      </c>
      <c r="E4" s="145">
        <f>+'ใบกัน 500'!H4</f>
        <v>0</v>
      </c>
      <c r="F4" s="145">
        <f>+'ใบกัน 500'!I4</f>
        <v>2055000</v>
      </c>
      <c r="G4" s="145">
        <f>+'ใบกัน 500'!J4</f>
        <v>32500</v>
      </c>
      <c r="H4" s="145">
        <f>+'ใบกัน 500'!K4</f>
        <v>70000</v>
      </c>
      <c r="I4" s="145">
        <f>+'ใบกัน 500'!L4</f>
        <v>4007500</v>
      </c>
      <c r="J4" s="308"/>
    </row>
    <row r="5" spans="1:10" ht="18.75" customHeight="1" x14ac:dyDescent="0.3">
      <c r="A5" s="309" t="s">
        <v>211</v>
      </c>
      <c r="B5" s="145"/>
      <c r="C5" s="145"/>
      <c r="D5" s="145"/>
      <c r="E5" s="145"/>
      <c r="F5" s="145"/>
      <c r="G5" s="145"/>
      <c r="H5" s="145"/>
      <c r="I5" s="145"/>
      <c r="J5" s="308"/>
    </row>
    <row r="6" spans="1:10" ht="18.75" customHeight="1" x14ac:dyDescent="0.3">
      <c r="A6" s="277" t="s">
        <v>212</v>
      </c>
      <c r="B6" s="136"/>
      <c r="C6" s="136"/>
      <c r="D6" s="136"/>
      <c r="E6" s="136"/>
      <c r="F6" s="136"/>
      <c r="G6" s="136"/>
      <c r="H6" s="136"/>
      <c r="I6" s="145"/>
      <c r="J6" s="272"/>
    </row>
    <row r="7" spans="1:10" ht="18.75" customHeight="1" x14ac:dyDescent="0.3">
      <c r="A7" s="310">
        <v>45580</v>
      </c>
      <c r="B7" s="136">
        <v>470.8</v>
      </c>
      <c r="C7" s="136"/>
      <c r="D7" s="136"/>
      <c r="E7" s="136"/>
      <c r="F7" s="136"/>
      <c r="G7" s="136"/>
      <c r="H7" s="136"/>
      <c r="I7" s="145">
        <f t="shared" ref="I7:I17" si="0">SUM(B7:H7)</f>
        <v>470.8</v>
      </c>
      <c r="J7" s="272" t="s">
        <v>1447</v>
      </c>
    </row>
    <row r="8" spans="1:10" s="986" customFormat="1" ht="18.75" customHeight="1" x14ac:dyDescent="0.3">
      <c r="A8" s="310">
        <v>45595</v>
      </c>
      <c r="B8" s="136">
        <v>463.31</v>
      </c>
      <c r="C8" s="136"/>
      <c r="D8" s="136"/>
      <c r="E8" s="136"/>
      <c r="F8" s="136"/>
      <c r="G8" s="136"/>
      <c r="H8" s="136"/>
      <c r="I8" s="145">
        <f t="shared" ref="I8" si="1">SUM(B8:H8)</f>
        <v>463.31</v>
      </c>
      <c r="J8" s="272" t="s">
        <v>1448</v>
      </c>
    </row>
    <row r="9" spans="1:10" ht="18.75" customHeight="1" x14ac:dyDescent="0.3">
      <c r="A9" s="310"/>
      <c r="B9" s="136"/>
      <c r="C9" s="136"/>
      <c r="D9" s="136"/>
      <c r="E9" s="136"/>
      <c r="F9" s="136"/>
      <c r="G9" s="136"/>
      <c r="H9" s="136"/>
      <c r="I9" s="145"/>
      <c r="J9" s="272"/>
    </row>
    <row r="10" spans="1:10" ht="18.75" customHeight="1" x14ac:dyDescent="0.3">
      <c r="A10" s="310"/>
      <c r="B10" s="136"/>
      <c r="C10" s="136"/>
      <c r="D10" s="136"/>
      <c r="E10" s="136"/>
      <c r="F10" s="136"/>
      <c r="G10" s="136"/>
      <c r="H10" s="136"/>
      <c r="I10" s="145"/>
      <c r="J10" s="272"/>
    </row>
    <row r="11" spans="1:10" ht="18.75" customHeight="1" x14ac:dyDescent="0.3">
      <c r="A11" s="310"/>
      <c r="B11" s="136"/>
      <c r="C11" s="195"/>
      <c r="D11" s="136"/>
      <c r="E11" s="136"/>
      <c r="F11" s="136"/>
      <c r="G11" s="136"/>
      <c r="H11" s="136"/>
      <c r="I11" s="145"/>
      <c r="J11" s="272"/>
    </row>
    <row r="12" spans="1:10" ht="18.75" customHeight="1" x14ac:dyDescent="0.3">
      <c r="A12" s="310"/>
      <c r="B12" s="136"/>
      <c r="C12" s="136"/>
      <c r="D12" s="136"/>
      <c r="E12" s="136"/>
      <c r="F12" s="136"/>
      <c r="G12" s="136"/>
      <c r="H12" s="136"/>
      <c r="I12" s="145"/>
      <c r="J12" s="272"/>
    </row>
    <row r="13" spans="1:10" ht="18.75" customHeight="1" x14ac:dyDescent="0.3">
      <c r="A13" s="310"/>
      <c r="B13" s="136"/>
      <c r="C13" s="136"/>
      <c r="D13" s="136"/>
      <c r="E13" s="136"/>
      <c r="F13" s="136"/>
      <c r="G13" s="136"/>
      <c r="H13" s="136"/>
      <c r="I13" s="145">
        <f t="shared" si="0"/>
        <v>0</v>
      </c>
      <c r="J13" s="272"/>
    </row>
    <row r="14" spans="1:10" ht="18.75" customHeight="1" x14ac:dyDescent="0.3">
      <c r="A14" s="310"/>
      <c r="B14" s="136"/>
      <c r="C14" s="136"/>
      <c r="D14" s="136"/>
      <c r="E14" s="136"/>
      <c r="F14" s="136"/>
      <c r="G14" s="136"/>
      <c r="H14" s="136"/>
      <c r="I14" s="145">
        <f t="shared" si="0"/>
        <v>0</v>
      </c>
      <c r="J14" s="272"/>
    </row>
    <row r="15" spans="1:10" ht="18.75" customHeight="1" x14ac:dyDescent="0.3">
      <c r="A15" s="311" t="s">
        <v>213</v>
      </c>
      <c r="B15" s="279">
        <f t="shared" ref="B15:H15" si="2">SUM(B6:B14)</f>
        <v>934.11</v>
      </c>
      <c r="C15" s="279">
        <f t="shared" si="2"/>
        <v>0</v>
      </c>
      <c r="D15" s="279">
        <f t="shared" si="2"/>
        <v>0</v>
      </c>
      <c r="E15" s="279">
        <f t="shared" si="2"/>
        <v>0</v>
      </c>
      <c r="F15" s="279">
        <f t="shared" si="2"/>
        <v>0</v>
      </c>
      <c r="G15" s="279">
        <f t="shared" si="2"/>
        <v>0</v>
      </c>
      <c r="H15" s="279">
        <f t="shared" si="2"/>
        <v>0</v>
      </c>
      <c r="I15" s="280">
        <f t="shared" si="0"/>
        <v>934.11</v>
      </c>
      <c r="J15" s="308"/>
    </row>
    <row r="16" spans="1:10" ht="18.75" customHeight="1" x14ac:dyDescent="0.3">
      <c r="A16" s="311" t="s">
        <v>341</v>
      </c>
      <c r="B16" s="279">
        <f t="shared" ref="B16:H16" si="3">SUM(B3+B15)</f>
        <v>934.11</v>
      </c>
      <c r="C16" s="279">
        <f t="shared" si="3"/>
        <v>0</v>
      </c>
      <c r="D16" s="279">
        <f t="shared" si="3"/>
        <v>0</v>
      </c>
      <c r="E16" s="279">
        <f t="shared" si="3"/>
        <v>0</v>
      </c>
      <c r="F16" s="279">
        <f t="shared" si="3"/>
        <v>0</v>
      </c>
      <c r="G16" s="279">
        <f t="shared" si="3"/>
        <v>0</v>
      </c>
      <c r="H16" s="279">
        <f t="shared" si="3"/>
        <v>0</v>
      </c>
      <c r="I16" s="280">
        <f t="shared" si="0"/>
        <v>934.11</v>
      </c>
      <c r="J16" s="308"/>
    </row>
    <row r="17" spans="1:10" ht="18.75" customHeight="1" x14ac:dyDescent="0.3">
      <c r="A17" s="311" t="s">
        <v>210</v>
      </c>
      <c r="B17" s="279">
        <f t="shared" ref="B17:H17" si="4">SUM(B4-B15)</f>
        <v>1699065.89</v>
      </c>
      <c r="C17" s="279">
        <f t="shared" si="4"/>
        <v>150000</v>
      </c>
      <c r="D17" s="279">
        <f t="shared" si="4"/>
        <v>0</v>
      </c>
      <c r="E17" s="279">
        <f t="shared" si="4"/>
        <v>0</v>
      </c>
      <c r="F17" s="279">
        <f t="shared" si="4"/>
        <v>2055000</v>
      </c>
      <c r="G17" s="279">
        <f t="shared" si="4"/>
        <v>32500</v>
      </c>
      <c r="H17" s="279">
        <f t="shared" si="4"/>
        <v>70000</v>
      </c>
      <c r="I17" s="280">
        <f t="shared" si="0"/>
        <v>4006565.8899999997</v>
      </c>
      <c r="J17" s="308"/>
    </row>
    <row r="18" spans="1:10" ht="18.75" customHeight="1" x14ac:dyDescent="0.3">
      <c r="A18" s="277" t="s">
        <v>216</v>
      </c>
      <c r="B18" s="136"/>
      <c r="C18" s="136"/>
      <c r="D18" s="136"/>
      <c r="E18" s="136"/>
      <c r="F18" s="136"/>
      <c r="G18" s="136"/>
      <c r="H18" s="136"/>
      <c r="I18" s="145"/>
      <c r="J18" s="272"/>
    </row>
    <row r="19" spans="1:10" ht="18.75" customHeight="1" x14ac:dyDescent="0.3">
      <c r="A19" s="310">
        <v>243926</v>
      </c>
      <c r="B19" s="136">
        <v>2159.1999999999998</v>
      </c>
      <c r="C19" s="136"/>
      <c r="D19" s="136"/>
      <c r="E19" s="136"/>
      <c r="F19" s="136"/>
      <c r="G19" s="136"/>
      <c r="H19" s="136"/>
      <c r="I19" s="145">
        <f t="shared" ref="I19:I79" si="5">SUM(B19:H19)</f>
        <v>2159.1999999999998</v>
      </c>
      <c r="J19" s="272" t="s">
        <v>1474</v>
      </c>
    </row>
    <row r="20" spans="1:10" ht="18.75" customHeight="1" x14ac:dyDescent="0.3">
      <c r="A20" s="310">
        <v>243934</v>
      </c>
      <c r="B20" s="136"/>
      <c r="C20" s="136"/>
      <c r="D20" s="136"/>
      <c r="E20" s="136"/>
      <c r="F20" s="136"/>
      <c r="G20" s="136"/>
      <c r="H20" s="136">
        <v>845</v>
      </c>
      <c r="I20" s="145">
        <f t="shared" si="5"/>
        <v>845</v>
      </c>
      <c r="J20" s="272" t="s">
        <v>1480</v>
      </c>
    </row>
    <row r="21" spans="1:10" ht="18.75" customHeight="1" x14ac:dyDescent="0.3">
      <c r="A21" s="310">
        <v>243937</v>
      </c>
      <c r="B21" s="136">
        <v>2140</v>
      </c>
      <c r="C21" s="136"/>
      <c r="D21" s="136"/>
      <c r="E21" s="136"/>
      <c r="F21" s="136"/>
      <c r="G21" s="136"/>
      <c r="H21" s="136"/>
      <c r="I21" s="145">
        <f t="shared" ref="I21:I24" si="6">SUM(B21:H21)</f>
        <v>2140</v>
      </c>
      <c r="J21" s="272"/>
    </row>
    <row r="22" spans="1:10" ht="18.75" customHeight="1" x14ac:dyDescent="0.3">
      <c r="A22" s="310">
        <v>243941</v>
      </c>
      <c r="B22" s="136"/>
      <c r="C22" s="136">
        <v>16990.3</v>
      </c>
      <c r="D22" s="136"/>
      <c r="E22" s="136"/>
      <c r="F22" s="136"/>
      <c r="G22" s="136"/>
      <c r="H22" s="136"/>
      <c r="I22" s="145">
        <f t="shared" si="6"/>
        <v>16990.3</v>
      </c>
      <c r="J22" s="272"/>
    </row>
    <row r="23" spans="1:10" ht="18.75" customHeight="1" x14ac:dyDescent="0.3">
      <c r="A23" s="310">
        <v>243947</v>
      </c>
      <c r="B23" s="136">
        <v>12604.6</v>
      </c>
      <c r="C23" s="136"/>
      <c r="D23" s="136"/>
      <c r="E23" s="136"/>
      <c r="F23" s="136"/>
      <c r="G23" s="136"/>
      <c r="H23" s="136"/>
      <c r="I23" s="145">
        <f t="shared" si="6"/>
        <v>12604.6</v>
      </c>
      <c r="J23" s="272"/>
    </row>
    <row r="24" spans="1:10" ht="18.75" customHeight="1" x14ac:dyDescent="0.3">
      <c r="A24" s="310">
        <v>243950</v>
      </c>
      <c r="B24" s="136">
        <v>6141.8</v>
      </c>
      <c r="C24" s="136"/>
      <c r="D24" s="136"/>
      <c r="E24" s="136"/>
      <c r="F24" s="136"/>
      <c r="G24" s="136"/>
      <c r="H24" s="136"/>
      <c r="I24" s="145">
        <f t="shared" si="6"/>
        <v>6141.8</v>
      </c>
      <c r="J24" s="272"/>
    </row>
    <row r="25" spans="1:10" ht="18.75" customHeight="1" x14ac:dyDescent="0.3">
      <c r="A25" s="310"/>
      <c r="B25" s="136"/>
      <c r="C25" s="136"/>
      <c r="D25" s="136"/>
      <c r="E25" s="136"/>
      <c r="F25" s="136"/>
      <c r="G25" s="136"/>
      <c r="H25" s="136"/>
      <c r="I25" s="145">
        <f t="shared" si="5"/>
        <v>0</v>
      </c>
      <c r="J25" s="272"/>
    </row>
    <row r="26" spans="1:10" ht="18.75" customHeight="1" x14ac:dyDescent="0.3">
      <c r="A26" s="310"/>
      <c r="B26" s="136"/>
      <c r="C26" s="136"/>
      <c r="D26" s="136"/>
      <c r="E26" s="136"/>
      <c r="F26" s="136"/>
      <c r="G26" s="136"/>
      <c r="H26" s="136"/>
      <c r="I26" s="145">
        <f t="shared" si="5"/>
        <v>0</v>
      </c>
      <c r="J26" s="272"/>
    </row>
    <row r="27" spans="1:10" ht="18.75" customHeight="1" x14ac:dyDescent="0.3">
      <c r="A27" s="310"/>
      <c r="B27" s="136"/>
      <c r="C27" s="136"/>
      <c r="D27" s="136"/>
      <c r="E27" s="136"/>
      <c r="F27" s="136"/>
      <c r="G27" s="136"/>
      <c r="H27" s="136"/>
      <c r="I27" s="145">
        <f t="shared" si="5"/>
        <v>0</v>
      </c>
      <c r="J27" s="272"/>
    </row>
    <row r="28" spans="1:10" ht="18.75" customHeight="1" x14ac:dyDescent="0.3">
      <c r="A28" s="310"/>
      <c r="B28" s="136"/>
      <c r="C28" s="136"/>
      <c r="D28" s="136"/>
      <c r="E28" s="136"/>
      <c r="F28" s="136"/>
      <c r="G28" s="136"/>
      <c r="H28" s="136"/>
      <c r="I28" s="145">
        <f t="shared" si="5"/>
        <v>0</v>
      </c>
      <c r="J28" s="272"/>
    </row>
    <row r="29" spans="1:10" ht="18.75" customHeight="1" x14ac:dyDescent="0.3">
      <c r="A29" s="310"/>
      <c r="B29" s="136"/>
      <c r="C29" s="136"/>
      <c r="D29" s="136"/>
      <c r="E29" s="136"/>
      <c r="F29" s="136"/>
      <c r="G29" s="136"/>
      <c r="H29" s="136"/>
      <c r="I29" s="145">
        <f t="shared" si="5"/>
        <v>0</v>
      </c>
      <c r="J29" s="272"/>
    </row>
    <row r="30" spans="1:10" ht="18.75" customHeight="1" x14ac:dyDescent="0.3">
      <c r="A30" s="310"/>
      <c r="B30" s="136"/>
      <c r="C30" s="136"/>
      <c r="D30" s="136"/>
      <c r="E30" s="136"/>
      <c r="F30" s="136"/>
      <c r="G30" s="136"/>
      <c r="H30" s="136"/>
      <c r="I30" s="145">
        <f t="shared" si="5"/>
        <v>0</v>
      </c>
      <c r="J30" s="272"/>
    </row>
    <row r="31" spans="1:10" ht="18.75" customHeight="1" x14ac:dyDescent="0.3">
      <c r="A31" s="310"/>
      <c r="B31" s="136"/>
      <c r="C31" s="136"/>
      <c r="D31" s="136"/>
      <c r="E31" s="136"/>
      <c r="F31" s="136"/>
      <c r="G31" s="136"/>
      <c r="H31" s="136"/>
      <c r="I31" s="145">
        <f t="shared" si="5"/>
        <v>0</v>
      </c>
      <c r="J31" s="272"/>
    </row>
    <row r="32" spans="1:10" ht="18.75" customHeight="1" x14ac:dyDescent="0.3">
      <c r="A32" s="310"/>
      <c r="B32" s="136"/>
      <c r="C32" s="136"/>
      <c r="D32" s="136"/>
      <c r="E32" s="136"/>
      <c r="F32" s="136"/>
      <c r="G32" s="136"/>
      <c r="H32" s="136"/>
      <c r="I32" s="145">
        <f t="shared" si="5"/>
        <v>0</v>
      </c>
      <c r="J32" s="272"/>
    </row>
    <row r="33" spans="1:10" ht="18.75" customHeight="1" x14ac:dyDescent="0.3">
      <c r="A33" s="311" t="s">
        <v>217</v>
      </c>
      <c r="B33" s="279">
        <f t="shared" ref="B33:H33" si="7">SUM(B18:B32)</f>
        <v>23045.599999999999</v>
      </c>
      <c r="C33" s="279">
        <f t="shared" si="7"/>
        <v>16990.3</v>
      </c>
      <c r="D33" s="279">
        <f t="shared" si="7"/>
        <v>0</v>
      </c>
      <c r="E33" s="279">
        <f t="shared" si="7"/>
        <v>0</v>
      </c>
      <c r="F33" s="279">
        <f t="shared" si="7"/>
        <v>0</v>
      </c>
      <c r="G33" s="279">
        <f t="shared" si="7"/>
        <v>0</v>
      </c>
      <c r="H33" s="279">
        <f t="shared" si="7"/>
        <v>845</v>
      </c>
      <c r="I33" s="280">
        <f t="shared" si="5"/>
        <v>40880.899999999994</v>
      </c>
      <c r="J33" s="308"/>
    </row>
    <row r="34" spans="1:10" ht="18.75" customHeight="1" x14ac:dyDescent="0.3">
      <c r="A34" s="311" t="s">
        <v>218</v>
      </c>
      <c r="B34" s="279">
        <f t="shared" ref="B34:H34" si="8">SUM(B16+B33)</f>
        <v>23979.71</v>
      </c>
      <c r="C34" s="279">
        <f t="shared" si="8"/>
        <v>16990.3</v>
      </c>
      <c r="D34" s="279">
        <f t="shared" si="8"/>
        <v>0</v>
      </c>
      <c r="E34" s="279">
        <f t="shared" si="8"/>
        <v>0</v>
      </c>
      <c r="F34" s="279">
        <f t="shared" si="8"/>
        <v>0</v>
      </c>
      <c r="G34" s="279">
        <f t="shared" si="8"/>
        <v>0</v>
      </c>
      <c r="H34" s="279">
        <f t="shared" si="8"/>
        <v>845</v>
      </c>
      <c r="I34" s="280">
        <f t="shared" si="5"/>
        <v>41815.009999999995</v>
      </c>
      <c r="J34" s="308"/>
    </row>
    <row r="35" spans="1:10" ht="18.75" customHeight="1" x14ac:dyDescent="0.3">
      <c r="A35" s="311" t="s">
        <v>219</v>
      </c>
      <c r="B35" s="279">
        <f t="shared" ref="B35:H35" si="9">SUM(B17-B33)</f>
        <v>1676020.2899999998</v>
      </c>
      <c r="C35" s="279">
        <f t="shared" si="9"/>
        <v>133009.70000000001</v>
      </c>
      <c r="D35" s="279">
        <f t="shared" si="9"/>
        <v>0</v>
      </c>
      <c r="E35" s="279">
        <f t="shared" si="9"/>
        <v>0</v>
      </c>
      <c r="F35" s="279">
        <f t="shared" si="9"/>
        <v>2055000</v>
      </c>
      <c r="G35" s="279">
        <f t="shared" si="9"/>
        <v>32500</v>
      </c>
      <c r="H35" s="279">
        <f t="shared" si="9"/>
        <v>69155</v>
      </c>
      <c r="I35" s="280">
        <f t="shared" si="5"/>
        <v>3965684.9899999998</v>
      </c>
      <c r="J35" s="308"/>
    </row>
    <row r="36" spans="1:10" ht="18.75" customHeight="1" x14ac:dyDescent="0.3">
      <c r="A36" s="277" t="s">
        <v>220</v>
      </c>
      <c r="B36" s="136"/>
      <c r="C36" s="136"/>
      <c r="D36" s="136"/>
      <c r="E36" s="136"/>
      <c r="F36" s="136"/>
      <c r="G36" s="136"/>
      <c r="H36" s="136"/>
      <c r="I36" s="145">
        <f t="shared" si="5"/>
        <v>0</v>
      </c>
      <c r="J36" s="272"/>
    </row>
    <row r="37" spans="1:10" ht="18.75" customHeight="1" x14ac:dyDescent="0.3">
      <c r="A37" s="310">
        <v>243958</v>
      </c>
      <c r="B37" s="136"/>
      <c r="C37" s="136"/>
      <c r="D37" s="136"/>
      <c r="E37" s="136"/>
      <c r="F37" s="136"/>
      <c r="G37" s="136"/>
      <c r="H37" s="136">
        <v>800</v>
      </c>
      <c r="I37" s="145">
        <f t="shared" si="5"/>
        <v>800</v>
      </c>
      <c r="J37" s="272" t="s">
        <v>775</v>
      </c>
    </row>
    <row r="38" spans="1:10" ht="18.75" customHeight="1" x14ac:dyDescent="0.3">
      <c r="A38" s="310">
        <v>243959</v>
      </c>
      <c r="B38" s="136">
        <v>1030.4100000000001</v>
      </c>
      <c r="C38" s="136"/>
      <c r="D38" s="136"/>
      <c r="E38" s="136"/>
      <c r="F38" s="136"/>
      <c r="G38" s="136"/>
      <c r="H38" s="136"/>
      <c r="I38" s="145">
        <f t="shared" si="5"/>
        <v>1030.4100000000001</v>
      </c>
      <c r="J38" s="272" t="s">
        <v>776</v>
      </c>
    </row>
    <row r="39" spans="1:10" ht="18.75" customHeight="1" x14ac:dyDescent="0.3">
      <c r="A39" s="310">
        <v>243969</v>
      </c>
      <c r="B39" s="136">
        <v>2568</v>
      </c>
      <c r="C39" s="136"/>
      <c r="D39" s="136"/>
      <c r="E39" s="136"/>
      <c r="F39" s="136"/>
      <c r="G39" s="136"/>
      <c r="H39" s="136"/>
      <c r="I39" s="145">
        <f t="shared" si="5"/>
        <v>2568</v>
      </c>
      <c r="J39" s="272" t="s">
        <v>777</v>
      </c>
    </row>
    <row r="40" spans="1:10" ht="18.75" customHeight="1" x14ac:dyDescent="0.3">
      <c r="A40" s="310">
        <v>243971</v>
      </c>
      <c r="B40" s="136"/>
      <c r="C40" s="136">
        <v>19090</v>
      </c>
      <c r="D40" s="136"/>
      <c r="E40" s="136"/>
      <c r="F40" s="136"/>
      <c r="G40" s="136"/>
      <c r="H40" s="136"/>
      <c r="I40" s="145">
        <f t="shared" si="5"/>
        <v>19090</v>
      </c>
      <c r="J40" s="272" t="s">
        <v>778</v>
      </c>
    </row>
    <row r="41" spans="1:10" ht="18.75" customHeight="1" x14ac:dyDescent="0.3">
      <c r="A41" s="310">
        <v>243971</v>
      </c>
      <c r="B41" s="136">
        <v>3180</v>
      </c>
      <c r="C41" s="136"/>
      <c r="D41" s="136"/>
      <c r="E41" s="136"/>
      <c r="F41" s="136"/>
      <c r="G41" s="136"/>
      <c r="H41" s="136"/>
      <c r="I41" s="145">
        <f t="shared" si="5"/>
        <v>3180</v>
      </c>
      <c r="J41" s="272" t="s">
        <v>779</v>
      </c>
    </row>
    <row r="42" spans="1:10" ht="18.75" customHeight="1" x14ac:dyDescent="0.3">
      <c r="A42" s="310">
        <v>243971</v>
      </c>
      <c r="B42" s="136">
        <v>4820</v>
      </c>
      <c r="C42" s="136"/>
      <c r="D42" s="136"/>
      <c r="E42" s="136"/>
      <c r="F42" s="136"/>
      <c r="G42" s="136"/>
      <c r="H42" s="136"/>
      <c r="I42" s="145">
        <f t="shared" si="5"/>
        <v>4820</v>
      </c>
      <c r="J42" s="272" t="s">
        <v>780</v>
      </c>
    </row>
    <row r="43" spans="1:10" ht="18.75" customHeight="1" x14ac:dyDescent="0.3">
      <c r="A43" s="310">
        <v>243972</v>
      </c>
      <c r="B43" s="136">
        <v>12604.6</v>
      </c>
      <c r="C43" s="136"/>
      <c r="D43" s="136"/>
      <c r="E43" s="136"/>
      <c r="F43" s="136"/>
      <c r="G43" s="136"/>
      <c r="H43" s="136"/>
      <c r="I43" s="145">
        <f t="shared" si="5"/>
        <v>12604.6</v>
      </c>
      <c r="J43" s="272" t="s">
        <v>781</v>
      </c>
    </row>
    <row r="44" spans="1:10" ht="18.75" customHeight="1" x14ac:dyDescent="0.3">
      <c r="A44" s="310">
        <v>243972</v>
      </c>
      <c r="B44" s="136">
        <v>6141.8</v>
      </c>
      <c r="C44" s="136"/>
      <c r="D44" s="136"/>
      <c r="E44" s="136"/>
      <c r="F44" s="136"/>
      <c r="G44" s="136"/>
      <c r="H44" s="136"/>
      <c r="I44" s="145">
        <f t="shared" si="5"/>
        <v>6141.8</v>
      </c>
      <c r="J44" s="272" t="s">
        <v>782</v>
      </c>
    </row>
    <row r="45" spans="1:10" s="977" customFormat="1" ht="18.75" customHeight="1" x14ac:dyDescent="0.3">
      <c r="A45" s="998">
        <v>243972</v>
      </c>
      <c r="B45" s="975">
        <v>2559</v>
      </c>
      <c r="C45" s="975"/>
      <c r="D45" s="975"/>
      <c r="E45" s="975"/>
      <c r="F45" s="975"/>
      <c r="G45" s="975"/>
      <c r="H45" s="975"/>
      <c r="I45" s="999">
        <f t="shared" si="5"/>
        <v>2559</v>
      </c>
      <c r="J45" s="1000" t="s">
        <v>783</v>
      </c>
    </row>
    <row r="46" spans="1:10" ht="18.75" customHeight="1" x14ac:dyDescent="0.3">
      <c r="A46" s="310">
        <v>243972</v>
      </c>
      <c r="B46" s="136">
        <v>3787.8</v>
      </c>
      <c r="C46" s="136"/>
      <c r="D46" s="136"/>
      <c r="E46" s="136"/>
      <c r="F46" s="136"/>
      <c r="G46" s="136"/>
      <c r="H46" s="136"/>
      <c r="I46" s="145">
        <f t="shared" si="5"/>
        <v>3787.8</v>
      </c>
      <c r="J46" s="272" t="s">
        <v>784</v>
      </c>
    </row>
    <row r="47" spans="1:10" ht="18.75" customHeight="1" x14ac:dyDescent="0.3">
      <c r="A47" s="310">
        <v>243977</v>
      </c>
      <c r="B47" s="136">
        <v>6131.1</v>
      </c>
      <c r="C47" s="136"/>
      <c r="D47" s="136"/>
      <c r="E47" s="136"/>
      <c r="F47" s="136"/>
      <c r="G47" s="136"/>
      <c r="H47" s="136"/>
      <c r="I47" s="145">
        <f t="shared" si="5"/>
        <v>6131.1</v>
      </c>
      <c r="J47" s="272" t="s">
        <v>785</v>
      </c>
    </row>
    <row r="48" spans="1:10" ht="18.75" customHeight="1" x14ac:dyDescent="0.3">
      <c r="A48" s="310"/>
      <c r="B48" s="136"/>
      <c r="C48" s="136"/>
      <c r="D48" s="136"/>
      <c r="E48" s="136"/>
      <c r="F48" s="136"/>
      <c r="G48" s="136"/>
      <c r="H48" s="136"/>
      <c r="I48" s="145">
        <f t="shared" si="5"/>
        <v>0</v>
      </c>
      <c r="J48" s="272"/>
    </row>
    <row r="49" spans="1:10" ht="18.75" customHeight="1" x14ac:dyDescent="0.3">
      <c r="A49" s="310"/>
      <c r="B49" s="136"/>
      <c r="C49" s="136"/>
      <c r="D49" s="136"/>
      <c r="E49" s="136"/>
      <c r="F49" s="136"/>
      <c r="G49" s="136"/>
      <c r="H49" s="136"/>
      <c r="I49" s="145">
        <f t="shared" si="5"/>
        <v>0</v>
      </c>
      <c r="J49" s="272"/>
    </row>
    <row r="50" spans="1:10" ht="18.75" customHeight="1" x14ac:dyDescent="0.3">
      <c r="A50" s="310"/>
      <c r="B50" s="136"/>
      <c r="C50" s="136"/>
      <c r="D50" s="136"/>
      <c r="E50" s="136"/>
      <c r="F50" s="136"/>
      <c r="G50" s="136"/>
      <c r="H50" s="136"/>
      <c r="I50" s="145">
        <f t="shared" si="5"/>
        <v>0</v>
      </c>
      <c r="J50" s="272"/>
    </row>
    <row r="51" spans="1:10" ht="18.75" customHeight="1" x14ac:dyDescent="0.3">
      <c r="A51" s="311" t="s">
        <v>221</v>
      </c>
      <c r="B51" s="279">
        <f t="shared" ref="B51:H51" si="10">SUM(B36:B50)</f>
        <v>42822.71</v>
      </c>
      <c r="C51" s="279">
        <f t="shared" si="10"/>
        <v>19090</v>
      </c>
      <c r="D51" s="279">
        <f t="shared" si="10"/>
        <v>0</v>
      </c>
      <c r="E51" s="279">
        <f t="shared" si="10"/>
        <v>0</v>
      </c>
      <c r="F51" s="279">
        <f t="shared" si="10"/>
        <v>0</v>
      </c>
      <c r="G51" s="279">
        <f t="shared" si="10"/>
        <v>0</v>
      </c>
      <c r="H51" s="279">
        <f t="shared" si="10"/>
        <v>800</v>
      </c>
      <c r="I51" s="280">
        <f t="shared" si="5"/>
        <v>62712.71</v>
      </c>
      <c r="J51" s="308"/>
    </row>
    <row r="52" spans="1:10" ht="18.75" customHeight="1" x14ac:dyDescent="0.3">
      <c r="A52" s="311" t="s">
        <v>222</v>
      </c>
      <c r="B52" s="279">
        <f t="shared" ref="B52:H52" si="11">SUM(B34+B51)</f>
        <v>66802.42</v>
      </c>
      <c r="C52" s="279">
        <f t="shared" si="11"/>
        <v>36080.300000000003</v>
      </c>
      <c r="D52" s="279">
        <f t="shared" si="11"/>
        <v>0</v>
      </c>
      <c r="E52" s="279">
        <f t="shared" si="11"/>
        <v>0</v>
      </c>
      <c r="F52" s="279">
        <f t="shared" si="11"/>
        <v>0</v>
      </c>
      <c r="G52" s="279">
        <f t="shared" si="11"/>
        <v>0</v>
      </c>
      <c r="H52" s="279">
        <f t="shared" si="11"/>
        <v>1645</v>
      </c>
      <c r="I52" s="280">
        <f t="shared" si="5"/>
        <v>104527.72</v>
      </c>
      <c r="J52" s="308"/>
    </row>
    <row r="53" spans="1:10" ht="18.75" customHeight="1" x14ac:dyDescent="0.3">
      <c r="A53" s="311" t="s">
        <v>223</v>
      </c>
      <c r="B53" s="279">
        <f t="shared" ref="B53:H53" si="12">SUM(B35-B51)</f>
        <v>1633197.5799999998</v>
      </c>
      <c r="C53" s="279">
        <f t="shared" si="12"/>
        <v>113919.70000000001</v>
      </c>
      <c r="D53" s="279">
        <f t="shared" si="12"/>
        <v>0</v>
      </c>
      <c r="E53" s="279">
        <f t="shared" si="12"/>
        <v>0</v>
      </c>
      <c r="F53" s="279">
        <f t="shared" si="12"/>
        <v>2055000</v>
      </c>
      <c r="G53" s="279">
        <f t="shared" si="12"/>
        <v>32500</v>
      </c>
      <c r="H53" s="279">
        <f t="shared" si="12"/>
        <v>68355</v>
      </c>
      <c r="I53" s="280">
        <f t="shared" si="5"/>
        <v>3902972.28</v>
      </c>
      <c r="J53" s="308"/>
    </row>
    <row r="54" spans="1:10" ht="18.75" customHeight="1" x14ac:dyDescent="0.3">
      <c r="A54" s="277" t="s">
        <v>224</v>
      </c>
      <c r="B54" s="136"/>
      <c r="C54" s="136"/>
      <c r="D54" s="136"/>
      <c r="E54" s="136"/>
      <c r="F54" s="136"/>
      <c r="G54" s="136"/>
      <c r="H54" s="136"/>
      <c r="I54" s="145">
        <f t="shared" si="5"/>
        <v>0</v>
      </c>
      <c r="J54" s="272"/>
    </row>
    <row r="55" spans="1:10" ht="18.75" customHeight="1" x14ac:dyDescent="0.3">
      <c r="A55" s="310">
        <v>243989</v>
      </c>
      <c r="B55" s="136">
        <v>35952</v>
      </c>
      <c r="C55" s="136"/>
      <c r="D55" s="136"/>
      <c r="E55" s="136"/>
      <c r="F55" s="136"/>
      <c r="G55" s="136"/>
      <c r="H55" s="136"/>
      <c r="I55" s="145">
        <f t="shared" si="5"/>
        <v>35952</v>
      </c>
      <c r="J55" s="272" t="s">
        <v>1769</v>
      </c>
    </row>
    <row r="56" spans="1:10" s="1175" customFormat="1" ht="18.75" customHeight="1" x14ac:dyDescent="0.3">
      <c r="A56" s="310">
        <v>243992</v>
      </c>
      <c r="B56" s="136"/>
      <c r="C56" s="136"/>
      <c r="D56" s="136"/>
      <c r="E56" s="136"/>
      <c r="F56" s="136"/>
      <c r="G56" s="136"/>
      <c r="H56" s="136">
        <v>845</v>
      </c>
      <c r="I56" s="145">
        <f t="shared" si="5"/>
        <v>845</v>
      </c>
      <c r="J56" s="272" t="s">
        <v>1834</v>
      </c>
    </row>
    <row r="57" spans="1:10" ht="18.75" customHeight="1" x14ac:dyDescent="0.3">
      <c r="A57" s="310">
        <v>243996</v>
      </c>
      <c r="B57" s="136">
        <v>71733.87</v>
      </c>
      <c r="C57" s="136"/>
      <c r="D57" s="136"/>
      <c r="E57" s="136"/>
      <c r="F57" s="136"/>
      <c r="G57" s="136"/>
      <c r="H57" s="136"/>
      <c r="I57" s="145">
        <f t="shared" si="5"/>
        <v>71733.87</v>
      </c>
      <c r="J57" s="272" t="s">
        <v>1781</v>
      </c>
    </row>
    <row r="58" spans="1:10" ht="18.75" customHeight="1" x14ac:dyDescent="0.3">
      <c r="A58" s="310">
        <v>243998</v>
      </c>
      <c r="B58" s="136"/>
      <c r="C58" s="136"/>
      <c r="D58" s="136"/>
      <c r="E58" s="136"/>
      <c r="F58" s="136">
        <v>59385</v>
      </c>
      <c r="G58" s="136"/>
      <c r="H58" s="136"/>
      <c r="I58" s="145">
        <f t="shared" si="5"/>
        <v>59385</v>
      </c>
      <c r="J58" s="272" t="s">
        <v>1789</v>
      </c>
    </row>
    <row r="59" spans="1:10" ht="18.75" customHeight="1" x14ac:dyDescent="0.3">
      <c r="A59" s="310">
        <v>244003</v>
      </c>
      <c r="B59" s="136"/>
      <c r="C59" s="136"/>
      <c r="D59" s="136"/>
      <c r="E59" s="136"/>
      <c r="F59" s="136">
        <v>6045.5</v>
      </c>
      <c r="G59" s="136"/>
      <c r="H59" s="136"/>
      <c r="I59" s="145">
        <f t="shared" si="5"/>
        <v>6045.5</v>
      </c>
      <c r="J59" s="272" t="s">
        <v>1800</v>
      </c>
    </row>
    <row r="60" spans="1:10" ht="18.75" customHeight="1" x14ac:dyDescent="0.3">
      <c r="A60" s="310">
        <v>244003</v>
      </c>
      <c r="B60" s="136">
        <v>6141.8</v>
      </c>
      <c r="C60" s="136"/>
      <c r="D60" s="136"/>
      <c r="E60" s="136"/>
      <c r="F60" s="136"/>
      <c r="G60" s="136"/>
      <c r="H60" s="136"/>
      <c r="I60" s="145">
        <f t="shared" si="5"/>
        <v>6141.8</v>
      </c>
      <c r="J60" s="272" t="s">
        <v>1801</v>
      </c>
    </row>
    <row r="61" spans="1:10" ht="18.75" customHeight="1" x14ac:dyDescent="0.3">
      <c r="A61" s="310">
        <v>244003</v>
      </c>
      <c r="B61" s="136">
        <v>12604.6</v>
      </c>
      <c r="C61" s="136"/>
      <c r="D61" s="136"/>
      <c r="E61" s="136"/>
      <c r="F61" s="136"/>
      <c r="G61" s="136"/>
      <c r="H61" s="136"/>
      <c r="I61" s="145">
        <f t="shared" si="5"/>
        <v>12604.6</v>
      </c>
      <c r="J61" s="272" t="s">
        <v>1802</v>
      </c>
    </row>
    <row r="62" spans="1:10" ht="18.75" customHeight="1" x14ac:dyDescent="0.3">
      <c r="A62" s="310">
        <v>244005</v>
      </c>
      <c r="B62" s="136"/>
      <c r="C62" s="136">
        <v>18721.2</v>
      </c>
      <c r="D62" s="136"/>
      <c r="E62" s="136"/>
      <c r="F62" s="136"/>
      <c r="G62" s="136"/>
      <c r="H62" s="136"/>
      <c r="I62" s="145">
        <f t="shared" si="5"/>
        <v>18721.2</v>
      </c>
      <c r="J62" s="272" t="s">
        <v>1809</v>
      </c>
    </row>
    <row r="63" spans="1:10" ht="18.75" customHeight="1" x14ac:dyDescent="0.3">
      <c r="A63" s="310">
        <v>244007</v>
      </c>
      <c r="B63" s="136">
        <v>1070</v>
      </c>
      <c r="C63" s="136"/>
      <c r="D63" s="136"/>
      <c r="E63" s="136"/>
      <c r="F63" s="136"/>
      <c r="G63" s="136"/>
      <c r="H63" s="136"/>
      <c r="I63" s="145">
        <f t="shared" si="5"/>
        <v>1070</v>
      </c>
      <c r="J63" s="272" t="s">
        <v>1815</v>
      </c>
    </row>
    <row r="64" spans="1:10" ht="18.75" customHeight="1" x14ac:dyDescent="0.3">
      <c r="A64" s="310">
        <v>244007</v>
      </c>
      <c r="B64" s="136">
        <v>10165</v>
      </c>
      <c r="C64" s="136"/>
      <c r="D64" s="136"/>
      <c r="E64" s="136"/>
      <c r="F64" s="136"/>
      <c r="G64" s="136"/>
      <c r="H64" s="136"/>
      <c r="I64" s="145">
        <f t="shared" si="5"/>
        <v>10165</v>
      </c>
      <c r="J64" s="272" t="s">
        <v>1817</v>
      </c>
    </row>
    <row r="65" spans="1:10" ht="18.75" customHeight="1" x14ac:dyDescent="0.3">
      <c r="A65" s="310">
        <v>244007</v>
      </c>
      <c r="B65" s="136">
        <v>35952</v>
      </c>
      <c r="C65" s="136"/>
      <c r="D65" s="136"/>
      <c r="E65" s="136"/>
      <c r="F65" s="136"/>
      <c r="G65" s="136"/>
      <c r="H65" s="136"/>
      <c r="I65" s="145">
        <f t="shared" si="5"/>
        <v>35952</v>
      </c>
      <c r="J65" s="272" t="s">
        <v>1818</v>
      </c>
    </row>
    <row r="66" spans="1:10" ht="18.75" customHeight="1" x14ac:dyDescent="0.3">
      <c r="A66" s="310">
        <v>244010</v>
      </c>
      <c r="B66" s="136">
        <v>4815</v>
      </c>
      <c r="C66" s="136"/>
      <c r="D66" s="136"/>
      <c r="E66" s="136"/>
      <c r="F66" s="136"/>
      <c r="G66" s="136"/>
      <c r="H66" s="136"/>
      <c r="I66" s="145">
        <f t="shared" si="5"/>
        <v>4815</v>
      </c>
      <c r="J66" s="272" t="s">
        <v>1820</v>
      </c>
    </row>
    <row r="67" spans="1:10" ht="18.75" customHeight="1" x14ac:dyDescent="0.3">
      <c r="A67" s="310">
        <v>244011</v>
      </c>
      <c r="B67" s="136">
        <v>380</v>
      </c>
      <c r="C67" s="136"/>
      <c r="D67" s="136"/>
      <c r="E67" s="136"/>
      <c r="F67" s="136"/>
      <c r="G67" s="136"/>
      <c r="H67" s="136"/>
      <c r="I67" s="145">
        <f t="shared" si="5"/>
        <v>380</v>
      </c>
      <c r="J67" s="272" t="s">
        <v>1829</v>
      </c>
    </row>
    <row r="68" spans="1:10" ht="18.75" customHeight="1" x14ac:dyDescent="0.3">
      <c r="A68" s="310">
        <v>244005</v>
      </c>
      <c r="B68" s="136"/>
      <c r="C68" s="136"/>
      <c r="D68" s="136"/>
      <c r="E68" s="136"/>
      <c r="F68" s="136"/>
      <c r="G68" s="136"/>
      <c r="H68" s="136"/>
      <c r="I68" s="145">
        <f t="shared" si="5"/>
        <v>0</v>
      </c>
      <c r="J68" s="272" t="s">
        <v>1802</v>
      </c>
    </row>
    <row r="69" spans="1:10" ht="18.75" customHeight="1" x14ac:dyDescent="0.3">
      <c r="A69" s="310">
        <v>244005</v>
      </c>
      <c r="B69" s="136"/>
      <c r="C69" s="136"/>
      <c r="D69" s="136"/>
      <c r="E69" s="136"/>
      <c r="F69" s="136"/>
      <c r="G69" s="136"/>
      <c r="H69" s="136"/>
      <c r="I69" s="145">
        <f t="shared" si="5"/>
        <v>0</v>
      </c>
      <c r="J69" s="272" t="s">
        <v>1802</v>
      </c>
    </row>
    <row r="70" spans="1:10" ht="18.75" customHeight="1" x14ac:dyDescent="0.3">
      <c r="A70" s="310">
        <v>244005</v>
      </c>
      <c r="B70" s="136"/>
      <c r="C70" s="136"/>
      <c r="D70" s="136"/>
      <c r="E70" s="136"/>
      <c r="F70" s="136"/>
      <c r="G70" s="136"/>
      <c r="H70" s="136"/>
      <c r="I70" s="145">
        <f t="shared" si="5"/>
        <v>0</v>
      </c>
      <c r="J70" s="272" t="s">
        <v>1802</v>
      </c>
    </row>
    <row r="71" spans="1:10" ht="18.75" customHeight="1" x14ac:dyDescent="0.3">
      <c r="A71" s="310">
        <v>244005</v>
      </c>
      <c r="B71" s="136"/>
      <c r="C71" s="136"/>
      <c r="D71" s="136"/>
      <c r="E71" s="136"/>
      <c r="F71" s="136"/>
      <c r="G71" s="136"/>
      <c r="H71" s="136"/>
      <c r="I71" s="145">
        <f t="shared" si="5"/>
        <v>0</v>
      </c>
      <c r="J71" s="272" t="s">
        <v>1802</v>
      </c>
    </row>
    <row r="72" spans="1:10" ht="18.75" customHeight="1" x14ac:dyDescent="0.3">
      <c r="A72" s="310">
        <v>244005</v>
      </c>
      <c r="B72" s="136"/>
      <c r="C72" s="136"/>
      <c r="D72" s="136"/>
      <c r="E72" s="136"/>
      <c r="F72" s="136"/>
      <c r="G72" s="136"/>
      <c r="H72" s="136"/>
      <c r="I72" s="145">
        <f t="shared" si="5"/>
        <v>0</v>
      </c>
      <c r="J72" s="272" t="s">
        <v>1802</v>
      </c>
    </row>
    <row r="73" spans="1:10" ht="18.75" customHeight="1" x14ac:dyDescent="0.3">
      <c r="A73" s="310"/>
      <c r="B73" s="136"/>
      <c r="C73" s="136"/>
      <c r="D73" s="136"/>
      <c r="E73" s="136"/>
      <c r="F73" s="136"/>
      <c r="G73" s="136"/>
      <c r="H73" s="136"/>
      <c r="I73" s="145">
        <f t="shared" si="5"/>
        <v>0</v>
      </c>
      <c r="J73" s="272"/>
    </row>
    <row r="74" spans="1:10" ht="18.75" customHeight="1" x14ac:dyDescent="0.3">
      <c r="A74" s="310"/>
      <c r="B74" s="136"/>
      <c r="C74" s="136"/>
      <c r="D74" s="136"/>
      <c r="E74" s="136"/>
      <c r="F74" s="136"/>
      <c r="G74" s="136"/>
      <c r="H74" s="136"/>
      <c r="I74" s="145">
        <f t="shared" si="5"/>
        <v>0</v>
      </c>
      <c r="J74" s="272"/>
    </row>
    <row r="75" spans="1:10" ht="18.75" customHeight="1" x14ac:dyDescent="0.3">
      <c r="A75" s="310"/>
      <c r="B75" s="136"/>
      <c r="C75" s="136"/>
      <c r="D75" s="136"/>
      <c r="E75" s="136"/>
      <c r="F75" s="136"/>
      <c r="G75" s="136"/>
      <c r="H75" s="136"/>
      <c r="I75" s="145">
        <f t="shared" si="5"/>
        <v>0</v>
      </c>
      <c r="J75" s="272"/>
    </row>
    <row r="76" spans="1:10" ht="18.75" customHeight="1" x14ac:dyDescent="0.3">
      <c r="A76" s="310"/>
      <c r="B76" s="136"/>
      <c r="C76" s="136"/>
      <c r="D76" s="136"/>
      <c r="E76" s="136"/>
      <c r="F76" s="136"/>
      <c r="G76" s="136"/>
      <c r="H76" s="136"/>
      <c r="I76" s="145">
        <f t="shared" si="5"/>
        <v>0</v>
      </c>
      <c r="J76" s="272"/>
    </row>
    <row r="77" spans="1:10" ht="18.75" customHeight="1" x14ac:dyDescent="0.3">
      <c r="A77" s="311" t="s">
        <v>225</v>
      </c>
      <c r="B77" s="279">
        <f t="shared" ref="B77:H77" si="13">SUM(B54:B76)</f>
        <v>178814.27000000002</v>
      </c>
      <c r="C77" s="279">
        <f t="shared" si="13"/>
        <v>18721.2</v>
      </c>
      <c r="D77" s="279">
        <f t="shared" si="13"/>
        <v>0</v>
      </c>
      <c r="E77" s="279">
        <f t="shared" si="13"/>
        <v>0</v>
      </c>
      <c r="F77" s="279">
        <f t="shared" si="13"/>
        <v>65430.5</v>
      </c>
      <c r="G77" s="279">
        <f t="shared" si="13"/>
        <v>0</v>
      </c>
      <c r="H77" s="279">
        <f t="shared" si="13"/>
        <v>845</v>
      </c>
      <c r="I77" s="280">
        <f t="shared" si="5"/>
        <v>263810.97000000003</v>
      </c>
      <c r="J77" s="308"/>
    </row>
    <row r="78" spans="1:10" ht="18.75" customHeight="1" x14ac:dyDescent="0.3">
      <c r="A78" s="311" t="s">
        <v>226</v>
      </c>
      <c r="B78" s="279">
        <f t="shared" ref="B78:H78" si="14">SUM(B52+B77)</f>
        <v>245616.69</v>
      </c>
      <c r="C78" s="279">
        <f t="shared" si="14"/>
        <v>54801.5</v>
      </c>
      <c r="D78" s="279">
        <f t="shared" si="14"/>
        <v>0</v>
      </c>
      <c r="E78" s="279">
        <f t="shared" si="14"/>
        <v>0</v>
      </c>
      <c r="F78" s="279">
        <f t="shared" si="14"/>
        <v>65430.5</v>
      </c>
      <c r="G78" s="279">
        <f t="shared" si="14"/>
        <v>0</v>
      </c>
      <c r="H78" s="279">
        <f t="shared" si="14"/>
        <v>2490</v>
      </c>
      <c r="I78" s="280">
        <f t="shared" si="5"/>
        <v>368338.69</v>
      </c>
      <c r="J78" s="308"/>
    </row>
    <row r="79" spans="1:10" ht="18.75" customHeight="1" x14ac:dyDescent="0.3">
      <c r="A79" s="311" t="s">
        <v>227</v>
      </c>
      <c r="B79" s="279">
        <f t="shared" ref="B79:H79" si="15">SUM(B53-B77)</f>
        <v>1454383.3099999998</v>
      </c>
      <c r="C79" s="279">
        <f t="shared" si="15"/>
        <v>95198.500000000015</v>
      </c>
      <c r="D79" s="279">
        <f t="shared" si="15"/>
        <v>0</v>
      </c>
      <c r="E79" s="279">
        <f t="shared" si="15"/>
        <v>0</v>
      </c>
      <c r="F79" s="279">
        <f t="shared" si="15"/>
        <v>1989569.5</v>
      </c>
      <c r="G79" s="279">
        <f t="shared" si="15"/>
        <v>32500</v>
      </c>
      <c r="H79" s="279">
        <f t="shared" si="15"/>
        <v>67510</v>
      </c>
      <c r="I79" s="280">
        <f t="shared" si="5"/>
        <v>3639161.3099999996</v>
      </c>
      <c r="J79" s="308"/>
    </row>
    <row r="80" spans="1:10" ht="18.75" customHeight="1" x14ac:dyDescent="0.3">
      <c r="A80" s="277" t="s">
        <v>228</v>
      </c>
      <c r="B80" s="136" t="s">
        <v>75</v>
      </c>
      <c r="C80" s="136"/>
      <c r="D80" s="136"/>
      <c r="E80" s="136"/>
      <c r="F80" s="136"/>
      <c r="G80" s="136"/>
      <c r="H80" s="136"/>
      <c r="I80" s="313"/>
      <c r="J80" s="272"/>
    </row>
    <row r="81" spans="1:10" ht="18.75" customHeight="1" x14ac:dyDescent="0.3">
      <c r="A81" s="314">
        <v>45323</v>
      </c>
      <c r="B81" s="136"/>
      <c r="C81" s="136"/>
      <c r="D81" s="136"/>
      <c r="E81" s="136"/>
      <c r="F81" s="136"/>
      <c r="G81" s="136"/>
      <c r="H81" s="136"/>
      <c r="I81" s="313">
        <f t="shared" ref="I81:I95" si="16">SUM(B81:H81)</f>
        <v>0</v>
      </c>
      <c r="J81" s="315" t="s">
        <v>786</v>
      </c>
    </row>
    <row r="82" spans="1:10" ht="18.75" customHeight="1" x14ac:dyDescent="0.3">
      <c r="A82" s="314">
        <v>45327</v>
      </c>
      <c r="B82" s="136"/>
      <c r="C82" s="136"/>
      <c r="D82" s="136"/>
      <c r="E82" s="136"/>
      <c r="F82" s="136"/>
      <c r="G82" s="136"/>
      <c r="H82" s="136"/>
      <c r="I82" s="313">
        <f t="shared" si="16"/>
        <v>0</v>
      </c>
      <c r="J82" s="315" t="s">
        <v>787</v>
      </c>
    </row>
    <row r="83" spans="1:10" ht="18.75" customHeight="1" x14ac:dyDescent="0.3">
      <c r="A83" s="314">
        <v>45327</v>
      </c>
      <c r="B83" s="136"/>
      <c r="C83" s="136"/>
      <c r="D83" s="136"/>
      <c r="E83" s="136"/>
      <c r="F83" s="136"/>
      <c r="G83" s="136"/>
      <c r="H83" s="136"/>
      <c r="I83" s="313">
        <f t="shared" si="16"/>
        <v>0</v>
      </c>
      <c r="J83" s="315" t="s">
        <v>788</v>
      </c>
    </row>
    <row r="84" spans="1:10" ht="18.75" customHeight="1" x14ac:dyDescent="0.3">
      <c r="A84" s="314">
        <v>45334</v>
      </c>
      <c r="B84" s="136"/>
      <c r="C84" s="136"/>
      <c r="D84" s="136"/>
      <c r="E84" s="136"/>
      <c r="F84" s="136"/>
      <c r="G84" s="136"/>
      <c r="H84" s="136"/>
      <c r="I84" s="313">
        <f t="shared" si="16"/>
        <v>0</v>
      </c>
      <c r="J84" s="315" t="s">
        <v>789</v>
      </c>
    </row>
    <row r="85" spans="1:10" ht="18.75" customHeight="1" x14ac:dyDescent="0.3">
      <c r="A85" s="314">
        <v>45334</v>
      </c>
      <c r="B85" s="136"/>
      <c r="C85" s="136"/>
      <c r="D85" s="136"/>
      <c r="E85" s="136"/>
      <c r="F85" s="136"/>
      <c r="G85" s="136"/>
      <c r="H85" s="136"/>
      <c r="I85" s="313">
        <f t="shared" si="16"/>
        <v>0</v>
      </c>
      <c r="J85" s="315" t="s">
        <v>790</v>
      </c>
    </row>
    <row r="86" spans="1:10" ht="18.75" customHeight="1" x14ac:dyDescent="0.3">
      <c r="A86" s="314">
        <v>45337</v>
      </c>
      <c r="B86" s="136"/>
      <c r="C86" s="136"/>
      <c r="D86" s="136"/>
      <c r="E86" s="136"/>
      <c r="F86" s="136"/>
      <c r="G86" s="136"/>
      <c r="H86" s="136"/>
      <c r="I86" s="313">
        <f t="shared" si="16"/>
        <v>0</v>
      </c>
      <c r="J86" s="315" t="s">
        <v>791</v>
      </c>
    </row>
    <row r="87" spans="1:10" ht="18.75" customHeight="1" x14ac:dyDescent="0.3">
      <c r="A87" s="314">
        <v>45337</v>
      </c>
      <c r="B87" s="136"/>
      <c r="C87" s="136"/>
      <c r="D87" s="136"/>
      <c r="E87" s="136"/>
      <c r="F87" s="136"/>
      <c r="G87" s="136"/>
      <c r="H87" s="136"/>
      <c r="I87" s="313">
        <f t="shared" si="16"/>
        <v>0</v>
      </c>
      <c r="J87" s="315" t="s">
        <v>792</v>
      </c>
    </row>
    <row r="88" spans="1:10" ht="18.75" customHeight="1" x14ac:dyDescent="0.3">
      <c r="A88" s="314">
        <v>45341</v>
      </c>
      <c r="B88" s="136"/>
      <c r="C88" s="136"/>
      <c r="D88" s="136"/>
      <c r="E88" s="136"/>
      <c r="F88" s="136"/>
      <c r="G88" s="136"/>
      <c r="H88" s="136"/>
      <c r="I88" s="313">
        <f t="shared" si="16"/>
        <v>0</v>
      </c>
      <c r="J88" s="315" t="s">
        <v>793</v>
      </c>
    </row>
    <row r="89" spans="1:10" ht="18.75" customHeight="1" x14ac:dyDescent="0.3">
      <c r="A89" s="314">
        <v>45341</v>
      </c>
      <c r="B89" s="136"/>
      <c r="C89" s="136"/>
      <c r="D89" s="136"/>
      <c r="E89" s="136"/>
      <c r="F89" s="136"/>
      <c r="G89" s="136"/>
      <c r="H89" s="136"/>
      <c r="I89" s="313">
        <f t="shared" si="16"/>
        <v>0</v>
      </c>
      <c r="J89" s="315" t="s">
        <v>794</v>
      </c>
    </row>
    <row r="90" spans="1:10" ht="18.75" customHeight="1" x14ac:dyDescent="0.3">
      <c r="A90" s="314">
        <v>45341</v>
      </c>
      <c r="B90" s="136"/>
      <c r="C90" s="136"/>
      <c r="D90" s="136"/>
      <c r="E90" s="136"/>
      <c r="F90" s="136"/>
      <c r="G90" s="136"/>
      <c r="H90" s="136"/>
      <c r="I90" s="313">
        <f t="shared" si="16"/>
        <v>0</v>
      </c>
      <c r="J90" s="315" t="s">
        <v>795</v>
      </c>
    </row>
    <row r="91" spans="1:10" ht="18.75" customHeight="1" x14ac:dyDescent="0.3">
      <c r="A91" s="314">
        <v>45342</v>
      </c>
      <c r="B91" s="136"/>
      <c r="C91" s="136"/>
      <c r="D91" s="136"/>
      <c r="E91" s="136"/>
      <c r="F91" s="136"/>
      <c r="G91" s="136"/>
      <c r="H91" s="136"/>
      <c r="I91" s="313">
        <f t="shared" si="16"/>
        <v>0</v>
      </c>
      <c r="J91" s="315" t="s">
        <v>796</v>
      </c>
    </row>
    <row r="92" spans="1:10" ht="18.75" customHeight="1" x14ac:dyDescent="0.3">
      <c r="A92" s="314">
        <v>45343</v>
      </c>
      <c r="B92" s="136"/>
      <c r="C92" s="136"/>
      <c r="D92" s="136"/>
      <c r="E92" s="136"/>
      <c r="F92" s="136"/>
      <c r="G92" s="136"/>
      <c r="H92" s="136"/>
      <c r="I92" s="313">
        <f t="shared" si="16"/>
        <v>0</v>
      </c>
      <c r="J92" s="315" t="s">
        <v>797</v>
      </c>
    </row>
    <row r="93" spans="1:10" ht="18.75" customHeight="1" x14ac:dyDescent="0.3">
      <c r="A93" s="314">
        <v>45344</v>
      </c>
      <c r="B93" s="136"/>
      <c r="C93" s="136"/>
      <c r="D93" s="136"/>
      <c r="E93" s="136"/>
      <c r="F93" s="136"/>
      <c r="G93" s="136"/>
      <c r="H93" s="136"/>
      <c r="I93" s="313">
        <f t="shared" si="16"/>
        <v>0</v>
      </c>
      <c r="J93" s="315" t="s">
        <v>798</v>
      </c>
    </row>
    <row r="94" spans="1:10" ht="18.75" customHeight="1" x14ac:dyDescent="0.3">
      <c r="A94" s="310"/>
      <c r="B94" s="136"/>
      <c r="C94" s="136"/>
      <c r="D94" s="136"/>
      <c r="E94" s="136"/>
      <c r="F94" s="136"/>
      <c r="G94" s="136"/>
      <c r="H94" s="136"/>
      <c r="I94" s="313">
        <f t="shared" si="16"/>
        <v>0</v>
      </c>
      <c r="J94" s="272"/>
    </row>
    <row r="95" spans="1:10" ht="18.75" customHeight="1" x14ac:dyDescent="0.3">
      <c r="A95" s="310"/>
      <c r="B95" s="136"/>
      <c r="C95" s="136"/>
      <c r="D95" s="136"/>
      <c r="E95" s="136"/>
      <c r="F95" s="136"/>
      <c r="G95" s="136"/>
      <c r="H95" s="136"/>
      <c r="I95" s="313">
        <f t="shared" si="16"/>
        <v>0</v>
      </c>
      <c r="J95" s="272"/>
    </row>
    <row r="96" spans="1:10" ht="18.75" customHeight="1" x14ac:dyDescent="0.3">
      <c r="A96" s="310"/>
      <c r="B96" s="136"/>
      <c r="C96" s="136"/>
      <c r="D96" s="136"/>
      <c r="E96" s="136"/>
      <c r="F96" s="136"/>
      <c r="G96" s="136"/>
      <c r="H96" s="136"/>
      <c r="I96" s="145"/>
      <c r="J96" s="272"/>
    </row>
    <row r="97" spans="1:10" ht="18.75" customHeight="1" x14ac:dyDescent="0.3">
      <c r="A97" s="311" t="s">
        <v>229</v>
      </c>
      <c r="B97" s="279">
        <f t="shared" ref="B97:H97" si="17">SUM(B80:B96)</f>
        <v>0</v>
      </c>
      <c r="C97" s="279">
        <f t="shared" si="17"/>
        <v>0</v>
      </c>
      <c r="D97" s="279">
        <f t="shared" si="17"/>
        <v>0</v>
      </c>
      <c r="E97" s="279">
        <f t="shared" si="17"/>
        <v>0</v>
      </c>
      <c r="F97" s="279">
        <f t="shared" si="17"/>
        <v>0</v>
      </c>
      <c r="G97" s="279">
        <f t="shared" si="17"/>
        <v>0</v>
      </c>
      <c r="H97" s="279">
        <f t="shared" si="17"/>
        <v>0</v>
      </c>
      <c r="I97" s="280">
        <f>SUM(B97:H97)</f>
        <v>0</v>
      </c>
      <c r="J97" s="308"/>
    </row>
    <row r="98" spans="1:10" ht="18.75" customHeight="1" x14ac:dyDescent="0.3">
      <c r="A98" s="311" t="s">
        <v>230</v>
      </c>
      <c r="B98" s="279">
        <f t="shared" ref="B98:H98" si="18">SUM(B78+B97)</f>
        <v>245616.69</v>
      </c>
      <c r="C98" s="279">
        <f t="shared" si="18"/>
        <v>54801.5</v>
      </c>
      <c r="D98" s="279">
        <f t="shared" si="18"/>
        <v>0</v>
      </c>
      <c r="E98" s="279">
        <f t="shared" si="18"/>
        <v>0</v>
      </c>
      <c r="F98" s="279">
        <f t="shared" si="18"/>
        <v>65430.5</v>
      </c>
      <c r="G98" s="279">
        <f t="shared" si="18"/>
        <v>0</v>
      </c>
      <c r="H98" s="279">
        <f t="shared" si="18"/>
        <v>2490</v>
      </c>
      <c r="I98" s="280">
        <f>SUM(B98:H98)</f>
        <v>368338.69</v>
      </c>
      <c r="J98" s="308"/>
    </row>
    <row r="99" spans="1:10" ht="18.75" customHeight="1" x14ac:dyDescent="0.3">
      <c r="A99" s="311" t="s">
        <v>231</v>
      </c>
      <c r="B99" s="279">
        <f t="shared" ref="B99:H99" si="19">SUM(B79-B97)</f>
        <v>1454383.3099999998</v>
      </c>
      <c r="C99" s="279">
        <f t="shared" si="19"/>
        <v>95198.500000000015</v>
      </c>
      <c r="D99" s="279">
        <f t="shared" si="19"/>
        <v>0</v>
      </c>
      <c r="E99" s="279">
        <f t="shared" si="19"/>
        <v>0</v>
      </c>
      <c r="F99" s="279">
        <f t="shared" si="19"/>
        <v>1989569.5</v>
      </c>
      <c r="G99" s="279">
        <f t="shared" si="19"/>
        <v>32500</v>
      </c>
      <c r="H99" s="279">
        <f t="shared" si="19"/>
        <v>67510</v>
      </c>
      <c r="I99" s="280">
        <f>SUM(B99:H99)</f>
        <v>3639161.3099999996</v>
      </c>
      <c r="J99" s="308"/>
    </row>
    <row r="100" spans="1:10" ht="18.75" customHeight="1" x14ac:dyDescent="0.3">
      <c r="A100" s="277" t="s">
        <v>232</v>
      </c>
      <c r="B100" s="136"/>
      <c r="C100" s="136"/>
      <c r="D100" s="136"/>
      <c r="E100" s="136"/>
      <c r="F100" s="136"/>
      <c r="G100" s="136"/>
      <c r="H100" s="136"/>
      <c r="I100" s="280"/>
      <c r="J100" s="272"/>
    </row>
    <row r="101" spans="1:10" ht="18.75" customHeight="1" x14ac:dyDescent="0.3">
      <c r="A101" s="316">
        <v>243678</v>
      </c>
      <c r="B101" s="136"/>
      <c r="C101" s="136"/>
      <c r="D101" s="136"/>
      <c r="E101" s="136"/>
      <c r="F101" s="136"/>
      <c r="G101" s="136"/>
      <c r="H101" s="136"/>
      <c r="I101" s="317">
        <f t="shared" ref="I101:I118" si="20">SUM(B101:H101)</f>
        <v>0</v>
      </c>
      <c r="J101" s="315" t="s">
        <v>799</v>
      </c>
    </row>
    <row r="102" spans="1:10" ht="18.75" customHeight="1" x14ac:dyDescent="0.3">
      <c r="A102" s="316">
        <v>243678</v>
      </c>
      <c r="B102" s="136"/>
      <c r="C102" s="136"/>
      <c r="D102" s="136"/>
      <c r="E102" s="136"/>
      <c r="F102" s="136"/>
      <c r="G102" s="136"/>
      <c r="H102" s="136"/>
      <c r="I102" s="317">
        <f t="shared" si="20"/>
        <v>0</v>
      </c>
      <c r="J102" s="315" t="s">
        <v>799</v>
      </c>
    </row>
    <row r="103" spans="1:10" ht="18.75" customHeight="1" x14ac:dyDescent="0.3">
      <c r="A103" s="316">
        <v>243685</v>
      </c>
      <c r="B103" s="136"/>
      <c r="C103" s="136"/>
      <c r="D103" s="136"/>
      <c r="E103" s="136"/>
      <c r="F103" s="136"/>
      <c r="G103" s="136"/>
      <c r="H103" s="136"/>
      <c r="I103" s="317">
        <f t="shared" si="20"/>
        <v>0</v>
      </c>
      <c r="J103" s="315" t="s">
        <v>800</v>
      </c>
    </row>
    <row r="104" spans="1:10" ht="18.75" customHeight="1" x14ac:dyDescent="0.3">
      <c r="A104" s="316">
        <v>243685</v>
      </c>
      <c r="B104" s="136"/>
      <c r="C104" s="136"/>
      <c r="D104" s="136"/>
      <c r="E104" s="136"/>
      <c r="F104" s="136"/>
      <c r="G104" s="136"/>
      <c r="H104" s="136"/>
      <c r="I104" s="317">
        <f t="shared" si="20"/>
        <v>0</v>
      </c>
      <c r="J104" s="315" t="s">
        <v>801</v>
      </c>
    </row>
    <row r="105" spans="1:10" ht="18.75" customHeight="1" x14ac:dyDescent="0.3">
      <c r="A105" s="316">
        <v>45362</v>
      </c>
      <c r="B105" s="136"/>
      <c r="C105" s="136"/>
      <c r="D105" s="136"/>
      <c r="E105" s="136"/>
      <c r="F105" s="136"/>
      <c r="G105" s="136"/>
      <c r="H105" s="136"/>
      <c r="I105" s="317">
        <f t="shared" si="20"/>
        <v>0</v>
      </c>
      <c r="J105" s="315" t="s">
        <v>802</v>
      </c>
    </row>
    <row r="106" spans="1:10" ht="18.75" customHeight="1" x14ac:dyDescent="0.3">
      <c r="A106" s="316">
        <v>45362</v>
      </c>
      <c r="B106" s="136"/>
      <c r="C106" s="136"/>
      <c r="D106" s="136"/>
      <c r="E106" s="136"/>
      <c r="F106" s="136"/>
      <c r="G106" s="136"/>
      <c r="H106" s="136"/>
      <c r="I106" s="317">
        <f t="shared" si="20"/>
        <v>0</v>
      </c>
      <c r="J106" s="315" t="s">
        <v>803</v>
      </c>
    </row>
    <row r="107" spans="1:10" ht="18.75" customHeight="1" x14ac:dyDescent="0.3">
      <c r="A107" s="316">
        <v>45363</v>
      </c>
      <c r="B107" s="136"/>
      <c r="C107" s="136"/>
      <c r="D107" s="136"/>
      <c r="E107" s="136"/>
      <c r="F107" s="136"/>
      <c r="G107" s="136"/>
      <c r="H107" s="136"/>
      <c r="I107" s="317">
        <f t="shared" si="20"/>
        <v>0</v>
      </c>
      <c r="J107" s="315" t="s">
        <v>804</v>
      </c>
    </row>
    <row r="108" spans="1:10" ht="18.75" customHeight="1" x14ac:dyDescent="0.3">
      <c r="A108" s="316">
        <v>45364</v>
      </c>
      <c r="B108" s="136"/>
      <c r="C108" s="136"/>
      <c r="D108" s="136"/>
      <c r="E108" s="136"/>
      <c r="F108" s="136"/>
      <c r="G108" s="136"/>
      <c r="H108" s="136"/>
      <c r="I108" s="317">
        <f t="shared" si="20"/>
        <v>0</v>
      </c>
      <c r="J108" s="315" t="s">
        <v>805</v>
      </c>
    </row>
    <row r="109" spans="1:10" ht="18.75" customHeight="1" x14ac:dyDescent="0.3">
      <c r="A109" s="316">
        <v>45364</v>
      </c>
      <c r="B109" s="136"/>
      <c r="C109" s="136"/>
      <c r="D109" s="136"/>
      <c r="E109" s="136"/>
      <c r="F109" s="136"/>
      <c r="G109" s="136"/>
      <c r="H109" s="136"/>
      <c r="I109" s="317">
        <f t="shared" si="20"/>
        <v>0</v>
      </c>
      <c r="J109" s="315" t="s">
        <v>806</v>
      </c>
    </row>
    <row r="110" spans="1:10" ht="18.75" customHeight="1" x14ac:dyDescent="0.3">
      <c r="A110" s="316">
        <v>45364</v>
      </c>
      <c r="B110" s="136"/>
      <c r="C110" s="136"/>
      <c r="D110" s="136"/>
      <c r="E110" s="136"/>
      <c r="F110" s="136"/>
      <c r="G110" s="136"/>
      <c r="H110" s="136"/>
      <c r="I110" s="317">
        <f t="shared" si="20"/>
        <v>0</v>
      </c>
      <c r="J110" s="315" t="s">
        <v>807</v>
      </c>
    </row>
    <row r="111" spans="1:10" ht="18.75" customHeight="1" x14ac:dyDescent="0.3">
      <c r="A111" s="316">
        <v>45376</v>
      </c>
      <c r="B111" s="136"/>
      <c r="C111" s="136"/>
      <c r="D111" s="136"/>
      <c r="E111" s="136"/>
      <c r="F111" s="136"/>
      <c r="G111" s="136"/>
      <c r="H111" s="136"/>
      <c r="I111" s="317">
        <f t="shared" si="20"/>
        <v>0</v>
      </c>
      <c r="J111" s="315" t="s">
        <v>808</v>
      </c>
    </row>
    <row r="112" spans="1:10" ht="18.75" customHeight="1" x14ac:dyDescent="0.3">
      <c r="A112" s="310"/>
      <c r="B112" s="136"/>
      <c r="C112" s="136"/>
      <c r="D112" s="136"/>
      <c r="E112" s="136"/>
      <c r="F112" s="136"/>
      <c r="G112" s="136"/>
      <c r="H112" s="136"/>
      <c r="I112" s="280">
        <f t="shared" si="20"/>
        <v>0</v>
      </c>
      <c r="J112" s="272"/>
    </row>
    <row r="113" spans="1:10" ht="18.75" customHeight="1" x14ac:dyDescent="0.3">
      <c r="A113" s="310"/>
      <c r="B113" s="136"/>
      <c r="C113" s="136"/>
      <c r="D113" s="136"/>
      <c r="E113" s="136"/>
      <c r="F113" s="136"/>
      <c r="G113" s="136"/>
      <c r="H113" s="136"/>
      <c r="I113" s="280">
        <f t="shared" si="20"/>
        <v>0</v>
      </c>
      <c r="J113" s="272"/>
    </row>
    <row r="114" spans="1:10" ht="18.75" customHeight="1" x14ac:dyDescent="0.3">
      <c r="A114" s="310"/>
      <c r="B114" s="136"/>
      <c r="C114" s="136"/>
      <c r="D114" s="136"/>
      <c r="E114" s="136"/>
      <c r="F114" s="136"/>
      <c r="G114" s="136"/>
      <c r="H114" s="136"/>
      <c r="I114" s="280">
        <f t="shared" si="20"/>
        <v>0</v>
      </c>
      <c r="J114" s="272"/>
    </row>
    <row r="115" spans="1:10" ht="18.75" customHeight="1" x14ac:dyDescent="0.3">
      <c r="A115" s="310"/>
      <c r="B115" s="136"/>
      <c r="C115" s="136"/>
      <c r="D115" s="136"/>
      <c r="E115" s="136"/>
      <c r="F115" s="136"/>
      <c r="G115" s="136"/>
      <c r="H115" s="136"/>
      <c r="I115" s="280">
        <f t="shared" si="20"/>
        <v>0</v>
      </c>
      <c r="J115" s="272"/>
    </row>
    <row r="116" spans="1:10" ht="18.75" customHeight="1" x14ac:dyDescent="0.3">
      <c r="A116" s="310"/>
      <c r="B116" s="136"/>
      <c r="C116" s="136"/>
      <c r="D116" s="136"/>
      <c r="E116" s="136"/>
      <c r="F116" s="136"/>
      <c r="G116" s="136"/>
      <c r="H116" s="136"/>
      <c r="I116" s="280">
        <f t="shared" si="20"/>
        <v>0</v>
      </c>
      <c r="J116" s="272"/>
    </row>
    <row r="117" spans="1:10" ht="18.75" customHeight="1" x14ac:dyDescent="0.3">
      <c r="A117" s="310"/>
      <c r="B117" s="136"/>
      <c r="C117" s="136"/>
      <c r="D117" s="136"/>
      <c r="E117" s="136"/>
      <c r="F117" s="136"/>
      <c r="G117" s="136"/>
      <c r="H117" s="136"/>
      <c r="I117" s="280">
        <f t="shared" si="20"/>
        <v>0</v>
      </c>
      <c r="J117" s="272"/>
    </row>
    <row r="118" spans="1:10" ht="18.75" customHeight="1" x14ac:dyDescent="0.3">
      <c r="A118" s="310"/>
      <c r="B118" s="136"/>
      <c r="C118" s="136"/>
      <c r="D118" s="136"/>
      <c r="E118" s="136"/>
      <c r="F118" s="136"/>
      <c r="G118" s="136"/>
      <c r="H118" s="136"/>
      <c r="I118" s="280">
        <f t="shared" si="20"/>
        <v>0</v>
      </c>
      <c r="J118" s="272"/>
    </row>
    <row r="131" spans="1:10" ht="18.75" customHeight="1" x14ac:dyDescent="0.3">
      <c r="A131" s="311" t="s">
        <v>233</v>
      </c>
      <c r="B131" s="279">
        <f t="shared" ref="B131:H131" si="21">SUM(B100:B130)</f>
        <v>0</v>
      </c>
      <c r="C131" s="279">
        <f t="shared" si="21"/>
        <v>0</v>
      </c>
      <c r="D131" s="279">
        <f t="shared" si="21"/>
        <v>0</v>
      </c>
      <c r="E131" s="279">
        <f t="shared" si="21"/>
        <v>0</v>
      </c>
      <c r="F131" s="279">
        <f t="shared" si="21"/>
        <v>0</v>
      </c>
      <c r="G131" s="279">
        <f t="shared" si="21"/>
        <v>0</v>
      </c>
      <c r="H131" s="279">
        <f t="shared" si="21"/>
        <v>0</v>
      </c>
      <c r="I131" s="280">
        <f>SUM(B131:H131)</f>
        <v>0</v>
      </c>
      <c r="J131" s="308"/>
    </row>
    <row r="132" spans="1:10" ht="18.75" customHeight="1" x14ac:dyDescent="0.3">
      <c r="A132" s="311" t="s">
        <v>234</v>
      </c>
      <c r="B132" s="279">
        <f t="shared" ref="B132:H132" si="22">SUM(B98+B131)</f>
        <v>245616.69</v>
      </c>
      <c r="C132" s="279">
        <f t="shared" si="22"/>
        <v>54801.5</v>
      </c>
      <c r="D132" s="279">
        <f t="shared" si="22"/>
        <v>0</v>
      </c>
      <c r="E132" s="279">
        <f t="shared" si="22"/>
        <v>0</v>
      </c>
      <c r="F132" s="279">
        <f t="shared" si="22"/>
        <v>65430.5</v>
      </c>
      <c r="G132" s="279">
        <f t="shared" si="22"/>
        <v>0</v>
      </c>
      <c r="H132" s="279">
        <f t="shared" si="22"/>
        <v>2490</v>
      </c>
      <c r="I132" s="280">
        <f>SUM(B132:H132)</f>
        <v>368338.69</v>
      </c>
      <c r="J132" s="308"/>
    </row>
    <row r="133" spans="1:10" ht="18.75" customHeight="1" x14ac:dyDescent="0.3">
      <c r="A133" s="311" t="s">
        <v>235</v>
      </c>
      <c r="B133" s="279">
        <f>SUM(B99-B131)</f>
        <v>1454383.3099999998</v>
      </c>
      <c r="C133" s="279">
        <f>SUM(C99-C131)</f>
        <v>95198.500000000015</v>
      </c>
      <c r="D133" s="279">
        <f t="shared" ref="D133:H133" si="23">SUM(D99-D131)</f>
        <v>0</v>
      </c>
      <c r="E133" s="279">
        <f t="shared" si="23"/>
        <v>0</v>
      </c>
      <c r="F133" s="279">
        <f>SUM(F99-F131)</f>
        <v>1989569.5</v>
      </c>
      <c r="G133" s="279">
        <f t="shared" si="23"/>
        <v>32500</v>
      </c>
      <c r="H133" s="279">
        <f t="shared" si="23"/>
        <v>67510</v>
      </c>
      <c r="I133" s="280">
        <f>SUM(B133:H133)</f>
        <v>3639161.3099999996</v>
      </c>
      <c r="J133" s="308"/>
    </row>
    <row r="134" spans="1:10" ht="18.75" customHeight="1" x14ac:dyDescent="0.3">
      <c r="A134" s="277" t="s">
        <v>236</v>
      </c>
      <c r="B134" s="136"/>
      <c r="C134" s="136"/>
      <c r="D134" s="136"/>
      <c r="E134" s="136"/>
      <c r="F134" s="136"/>
      <c r="G134" s="136"/>
      <c r="H134" s="136"/>
      <c r="I134" s="145"/>
      <c r="J134" s="272"/>
    </row>
    <row r="135" spans="1:10" ht="18.75" customHeight="1" x14ac:dyDescent="0.3">
      <c r="A135" s="316">
        <v>45392</v>
      </c>
      <c r="B135" s="136"/>
      <c r="C135" s="136"/>
      <c r="D135" s="136"/>
      <c r="E135" s="136"/>
      <c r="F135" s="136"/>
      <c r="G135" s="136"/>
      <c r="H135" s="136"/>
      <c r="I135" s="145"/>
      <c r="J135" s="315" t="s">
        <v>809</v>
      </c>
    </row>
    <row r="136" spans="1:10" ht="18.75" customHeight="1" x14ac:dyDescent="0.3">
      <c r="A136" s="316">
        <v>45392</v>
      </c>
      <c r="B136" s="136"/>
      <c r="C136" s="136"/>
      <c r="D136" s="136"/>
      <c r="E136" s="136"/>
      <c r="F136" s="136"/>
      <c r="G136" s="136"/>
      <c r="H136" s="136"/>
      <c r="I136" s="145"/>
      <c r="J136" s="315" t="s">
        <v>810</v>
      </c>
    </row>
    <row r="137" spans="1:10" ht="18.75" customHeight="1" x14ac:dyDescent="0.3">
      <c r="A137" s="316">
        <v>45392</v>
      </c>
      <c r="B137" s="136"/>
      <c r="C137" s="136"/>
      <c r="D137" s="136"/>
      <c r="E137" s="136"/>
      <c r="F137" s="136"/>
      <c r="G137" s="136"/>
      <c r="H137" s="136"/>
      <c r="I137" s="145"/>
      <c r="J137" s="315" t="s">
        <v>811</v>
      </c>
    </row>
    <row r="138" spans="1:10" ht="18.75" customHeight="1" x14ac:dyDescent="0.3">
      <c r="A138" s="316">
        <v>45392</v>
      </c>
      <c r="B138" s="136"/>
      <c r="C138" s="136"/>
      <c r="D138" s="136"/>
      <c r="E138" s="136"/>
      <c r="F138" s="136"/>
      <c r="G138" s="136"/>
      <c r="H138" s="136"/>
      <c r="I138" s="145"/>
      <c r="J138" s="315" t="s">
        <v>812</v>
      </c>
    </row>
    <row r="139" spans="1:10" ht="18.75" customHeight="1" x14ac:dyDescent="0.3">
      <c r="A139" s="316">
        <v>45393</v>
      </c>
      <c r="B139" s="136"/>
      <c r="C139" s="136"/>
      <c r="D139" s="136"/>
      <c r="E139" s="136"/>
      <c r="F139" s="136"/>
      <c r="G139" s="136"/>
      <c r="H139" s="136"/>
      <c r="I139" s="145"/>
      <c r="J139" s="315" t="s">
        <v>813</v>
      </c>
    </row>
    <row r="140" spans="1:10" ht="18.75" customHeight="1" x14ac:dyDescent="0.3">
      <c r="A140" s="316">
        <v>45393</v>
      </c>
      <c r="B140" s="136"/>
      <c r="C140" s="136"/>
      <c r="D140" s="136"/>
      <c r="E140" s="136"/>
      <c r="F140" s="136"/>
      <c r="G140" s="136"/>
      <c r="H140" s="136"/>
      <c r="I140" s="145"/>
      <c r="J140" s="315" t="s">
        <v>814</v>
      </c>
    </row>
    <row r="141" spans="1:10" ht="18.75" customHeight="1" x14ac:dyDescent="0.3">
      <c r="A141" s="316">
        <v>45400</v>
      </c>
      <c r="B141" s="136"/>
      <c r="C141" s="136"/>
      <c r="D141" s="136"/>
      <c r="E141" s="136"/>
      <c r="F141" s="136"/>
      <c r="G141" s="136"/>
      <c r="H141" s="136"/>
      <c r="I141" s="145"/>
      <c r="J141" s="315" t="s">
        <v>815</v>
      </c>
    </row>
    <row r="142" spans="1:10" ht="18.75" customHeight="1" x14ac:dyDescent="0.3">
      <c r="A142" s="316">
        <v>45404</v>
      </c>
      <c r="B142" s="136"/>
      <c r="C142" s="136"/>
      <c r="D142" s="136"/>
      <c r="E142" s="136"/>
      <c r="F142" s="136"/>
      <c r="G142" s="136"/>
      <c r="H142" s="136"/>
      <c r="I142" s="145"/>
      <c r="J142" s="315" t="s">
        <v>816</v>
      </c>
    </row>
    <row r="143" spans="1:10" ht="18.75" customHeight="1" x14ac:dyDescent="0.3">
      <c r="A143" s="316">
        <v>45404</v>
      </c>
      <c r="B143" s="136"/>
      <c r="C143" s="136"/>
      <c r="D143" s="136"/>
      <c r="E143" s="136"/>
      <c r="F143" s="136"/>
      <c r="G143" s="136"/>
      <c r="H143" s="136"/>
      <c r="I143" s="145"/>
      <c r="J143" s="315" t="s">
        <v>817</v>
      </c>
    </row>
    <row r="144" spans="1:10" ht="18.75" customHeight="1" x14ac:dyDescent="0.3">
      <c r="A144" s="316">
        <v>45406</v>
      </c>
      <c r="B144" s="136"/>
      <c r="C144" s="136"/>
      <c r="D144" s="136"/>
      <c r="E144" s="136"/>
      <c r="F144" s="136"/>
      <c r="G144" s="136"/>
      <c r="H144" s="136"/>
      <c r="I144" s="145"/>
      <c r="J144" s="315" t="s">
        <v>818</v>
      </c>
    </row>
    <row r="145" spans="1:10" ht="18.75" customHeight="1" x14ac:dyDescent="0.3">
      <c r="A145" s="316">
        <v>45406</v>
      </c>
      <c r="B145" s="136"/>
      <c r="C145" s="136"/>
      <c r="D145" s="136"/>
      <c r="E145" s="136"/>
      <c r="F145" s="136"/>
      <c r="G145" s="136"/>
      <c r="H145" s="136"/>
      <c r="I145" s="145"/>
      <c r="J145" s="315" t="s">
        <v>819</v>
      </c>
    </row>
    <row r="153" spans="1:10" ht="18.75" customHeight="1" x14ac:dyDescent="0.3">
      <c r="A153" s="311" t="s">
        <v>237</v>
      </c>
      <c r="B153" s="279">
        <f t="shared" ref="B153:H153" si="24">SUM(B134:B152)</f>
        <v>0</v>
      </c>
      <c r="C153" s="279">
        <f t="shared" si="24"/>
        <v>0</v>
      </c>
      <c r="D153" s="279">
        <f t="shared" si="24"/>
        <v>0</v>
      </c>
      <c r="E153" s="279">
        <f t="shared" si="24"/>
        <v>0</v>
      </c>
      <c r="F153" s="279">
        <f t="shared" si="24"/>
        <v>0</v>
      </c>
      <c r="G153" s="279">
        <f t="shared" si="24"/>
        <v>0</v>
      </c>
      <c r="H153" s="279">
        <f t="shared" si="24"/>
        <v>0</v>
      </c>
      <c r="I153" s="280">
        <f>SUM(B153:H153)</f>
        <v>0</v>
      </c>
      <c r="J153" s="308"/>
    </row>
    <row r="154" spans="1:10" ht="18.75" customHeight="1" x14ac:dyDescent="0.3">
      <c r="A154" s="311" t="s">
        <v>238</v>
      </c>
      <c r="B154" s="279">
        <f t="shared" ref="B154:H154" si="25">SUM(B132+B153)</f>
        <v>245616.69</v>
      </c>
      <c r="C154" s="279">
        <f t="shared" si="25"/>
        <v>54801.5</v>
      </c>
      <c r="D154" s="279">
        <f t="shared" si="25"/>
        <v>0</v>
      </c>
      <c r="E154" s="279">
        <f t="shared" si="25"/>
        <v>0</v>
      </c>
      <c r="F154" s="279">
        <f t="shared" si="25"/>
        <v>65430.5</v>
      </c>
      <c r="G154" s="279">
        <f t="shared" si="25"/>
        <v>0</v>
      </c>
      <c r="H154" s="279">
        <f t="shared" si="25"/>
        <v>2490</v>
      </c>
      <c r="I154" s="280">
        <f>SUM(B154:H154)</f>
        <v>368338.69</v>
      </c>
      <c r="J154" s="308"/>
    </row>
    <row r="155" spans="1:10" ht="18.75" customHeight="1" x14ac:dyDescent="0.3">
      <c r="A155" s="311" t="s">
        <v>239</v>
      </c>
      <c r="B155" s="279">
        <f t="shared" ref="B155:H155" si="26">SUM(B133-B153)</f>
        <v>1454383.3099999998</v>
      </c>
      <c r="C155" s="279">
        <f t="shared" si="26"/>
        <v>95198.500000000015</v>
      </c>
      <c r="D155" s="279">
        <f t="shared" si="26"/>
        <v>0</v>
      </c>
      <c r="E155" s="279">
        <f t="shared" si="26"/>
        <v>0</v>
      </c>
      <c r="F155" s="279">
        <f t="shared" si="26"/>
        <v>1989569.5</v>
      </c>
      <c r="G155" s="279">
        <f t="shared" si="26"/>
        <v>32500</v>
      </c>
      <c r="H155" s="279">
        <f t="shared" si="26"/>
        <v>67510</v>
      </c>
      <c r="I155" s="280">
        <f>SUM(B155:H155)</f>
        <v>3639161.3099999996</v>
      </c>
      <c r="J155" s="308"/>
    </row>
    <row r="156" spans="1:10" ht="18.75" customHeight="1" x14ac:dyDescent="0.3">
      <c r="A156" s="277" t="s">
        <v>240</v>
      </c>
      <c r="B156" s="136"/>
      <c r="C156" s="136"/>
      <c r="D156" s="136"/>
      <c r="E156" s="136"/>
      <c r="F156" s="136"/>
      <c r="G156" s="136"/>
      <c r="H156" s="136"/>
      <c r="I156" s="145"/>
      <c r="J156" s="272"/>
    </row>
    <row r="157" spans="1:10" ht="18.75" customHeight="1" x14ac:dyDescent="0.3">
      <c r="A157" s="318">
        <v>45426</v>
      </c>
      <c r="B157" s="136"/>
      <c r="C157" s="136"/>
      <c r="D157" s="136"/>
      <c r="E157" s="136"/>
      <c r="F157" s="136"/>
      <c r="G157" s="136"/>
      <c r="H157" s="136"/>
      <c r="I157" s="145">
        <f t="shared" ref="I157:I174" si="27">SUM(B157:H157)</f>
        <v>0</v>
      </c>
      <c r="J157" s="315" t="s">
        <v>820</v>
      </c>
    </row>
    <row r="158" spans="1:10" ht="18.75" customHeight="1" x14ac:dyDescent="0.3">
      <c r="A158" s="318">
        <v>45426</v>
      </c>
      <c r="B158" s="136"/>
      <c r="C158" s="136"/>
      <c r="D158" s="136"/>
      <c r="E158" s="136"/>
      <c r="F158" s="136"/>
      <c r="G158" s="136"/>
      <c r="H158" s="136"/>
      <c r="I158" s="145">
        <f t="shared" si="27"/>
        <v>0</v>
      </c>
      <c r="J158" s="315" t="s">
        <v>821</v>
      </c>
    </row>
    <row r="159" spans="1:10" ht="18.75" customHeight="1" x14ac:dyDescent="0.3">
      <c r="A159" s="318">
        <v>45428</v>
      </c>
      <c r="B159" s="136"/>
      <c r="C159" s="136"/>
      <c r="D159" s="136"/>
      <c r="E159" s="136"/>
      <c r="F159" s="136"/>
      <c r="G159" s="136"/>
      <c r="H159" s="136"/>
      <c r="I159" s="145">
        <f t="shared" si="27"/>
        <v>0</v>
      </c>
      <c r="J159" s="315" t="s">
        <v>822</v>
      </c>
    </row>
    <row r="160" spans="1:10" ht="18.75" customHeight="1" x14ac:dyDescent="0.3">
      <c r="A160" s="318">
        <v>45429</v>
      </c>
      <c r="B160" s="136"/>
      <c r="C160" s="136"/>
      <c r="D160" s="136"/>
      <c r="E160" s="136"/>
      <c r="F160" s="136"/>
      <c r="G160" s="136"/>
      <c r="H160" s="136"/>
      <c r="I160" s="145">
        <f t="shared" si="27"/>
        <v>0</v>
      </c>
      <c r="J160" s="315" t="s">
        <v>823</v>
      </c>
    </row>
    <row r="161" spans="1:10" ht="18.75" customHeight="1" x14ac:dyDescent="0.3">
      <c r="A161" s="318">
        <v>45432</v>
      </c>
      <c r="B161" s="136"/>
      <c r="C161" s="136"/>
      <c r="D161" s="136"/>
      <c r="E161" s="136"/>
      <c r="F161" s="136"/>
      <c r="G161" s="136"/>
      <c r="H161" s="136"/>
      <c r="I161" s="145">
        <f t="shared" si="27"/>
        <v>0</v>
      </c>
      <c r="J161" s="315" t="s">
        <v>824</v>
      </c>
    </row>
    <row r="162" spans="1:10" ht="18.75" customHeight="1" x14ac:dyDescent="0.3">
      <c r="A162" s="318">
        <v>45432</v>
      </c>
      <c r="B162" s="136"/>
      <c r="C162" s="136"/>
      <c r="D162" s="136"/>
      <c r="E162" s="136"/>
      <c r="F162" s="136"/>
      <c r="G162" s="136"/>
      <c r="H162" s="136"/>
      <c r="I162" s="145">
        <f t="shared" si="27"/>
        <v>0</v>
      </c>
      <c r="J162" s="315" t="s">
        <v>825</v>
      </c>
    </row>
    <row r="163" spans="1:10" ht="18.75" customHeight="1" x14ac:dyDescent="0.3">
      <c r="A163" s="318">
        <v>45432</v>
      </c>
      <c r="B163" s="136"/>
      <c r="C163" s="136"/>
      <c r="D163" s="136"/>
      <c r="E163" s="136"/>
      <c r="F163" s="136"/>
      <c r="G163" s="136"/>
      <c r="H163" s="136"/>
      <c r="I163" s="145">
        <f t="shared" si="27"/>
        <v>0</v>
      </c>
      <c r="J163" s="315" t="s">
        <v>826</v>
      </c>
    </row>
    <row r="164" spans="1:10" ht="18.75" customHeight="1" x14ac:dyDescent="0.3">
      <c r="A164" s="318">
        <v>45432</v>
      </c>
      <c r="B164" s="136"/>
      <c r="C164" s="136"/>
      <c r="D164" s="136"/>
      <c r="E164" s="136"/>
      <c r="F164" s="136"/>
      <c r="G164" s="136"/>
      <c r="H164" s="136"/>
      <c r="I164" s="145">
        <f t="shared" si="27"/>
        <v>0</v>
      </c>
      <c r="J164" s="315" t="s">
        <v>827</v>
      </c>
    </row>
    <row r="165" spans="1:10" ht="18.75" customHeight="1" x14ac:dyDescent="0.3">
      <c r="A165" s="318">
        <v>45432</v>
      </c>
      <c r="B165" s="136"/>
      <c r="C165" s="136"/>
      <c r="D165" s="136"/>
      <c r="E165" s="136"/>
      <c r="F165" s="136"/>
      <c r="G165" s="136"/>
      <c r="H165" s="136"/>
      <c r="I165" s="145">
        <f t="shared" si="27"/>
        <v>0</v>
      </c>
      <c r="J165" s="315" t="s">
        <v>828</v>
      </c>
    </row>
    <row r="166" spans="1:10" ht="18.75" customHeight="1" x14ac:dyDescent="0.3">
      <c r="A166" s="318">
        <v>45432</v>
      </c>
      <c r="B166" s="136"/>
      <c r="C166" s="136"/>
      <c r="D166" s="136"/>
      <c r="E166" s="136"/>
      <c r="F166" s="136"/>
      <c r="G166" s="136"/>
      <c r="H166" s="136"/>
      <c r="I166" s="145">
        <f t="shared" si="27"/>
        <v>0</v>
      </c>
      <c r="J166" s="315" t="s">
        <v>829</v>
      </c>
    </row>
    <row r="167" spans="1:10" ht="18.75" customHeight="1" x14ac:dyDescent="0.3">
      <c r="A167" s="318">
        <v>45432</v>
      </c>
      <c r="B167" s="136"/>
      <c r="C167" s="136"/>
      <c r="D167" s="136"/>
      <c r="E167" s="136"/>
      <c r="F167" s="136"/>
      <c r="G167" s="136"/>
      <c r="H167" s="136"/>
      <c r="I167" s="145">
        <f t="shared" si="27"/>
        <v>0</v>
      </c>
      <c r="J167" s="315" t="s">
        <v>830</v>
      </c>
    </row>
    <row r="168" spans="1:10" ht="18.75" customHeight="1" x14ac:dyDescent="0.3">
      <c r="A168" s="318">
        <v>45435</v>
      </c>
      <c r="B168" s="136"/>
      <c r="C168" s="136"/>
      <c r="D168" s="136"/>
      <c r="E168" s="136"/>
      <c r="F168" s="136"/>
      <c r="G168" s="136"/>
      <c r="H168" s="136"/>
      <c r="I168" s="145">
        <f t="shared" si="27"/>
        <v>0</v>
      </c>
      <c r="J168" s="315" t="s">
        <v>831</v>
      </c>
    </row>
    <row r="169" spans="1:10" ht="18.75" customHeight="1" x14ac:dyDescent="0.3">
      <c r="A169" s="318">
        <v>45436</v>
      </c>
      <c r="B169" s="136"/>
      <c r="C169" s="136"/>
      <c r="D169" s="136"/>
      <c r="E169" s="136"/>
      <c r="F169" s="136"/>
      <c r="G169" s="136"/>
      <c r="H169" s="136"/>
      <c r="I169" s="145">
        <f t="shared" si="27"/>
        <v>0</v>
      </c>
      <c r="J169" s="315" t="s">
        <v>832</v>
      </c>
    </row>
    <row r="170" spans="1:10" ht="18.75" customHeight="1" x14ac:dyDescent="0.3">
      <c r="A170" s="316">
        <v>45436</v>
      </c>
      <c r="B170" s="136"/>
      <c r="C170" s="136"/>
      <c r="D170" s="136"/>
      <c r="E170" s="136"/>
      <c r="F170" s="136"/>
      <c r="G170" s="136"/>
      <c r="H170" s="136"/>
      <c r="I170" s="145">
        <f t="shared" si="27"/>
        <v>0</v>
      </c>
      <c r="J170" s="315" t="s">
        <v>833</v>
      </c>
    </row>
    <row r="171" spans="1:10" ht="18.75" customHeight="1" x14ac:dyDescent="0.3">
      <c r="A171" s="316">
        <v>45436</v>
      </c>
      <c r="B171" s="136"/>
      <c r="C171" s="136"/>
      <c r="D171" s="136"/>
      <c r="E171" s="136"/>
      <c r="F171" s="136"/>
      <c r="G171" s="136"/>
      <c r="H171" s="136"/>
      <c r="I171" s="145">
        <f t="shared" si="27"/>
        <v>0</v>
      </c>
      <c r="J171" s="315" t="s">
        <v>834</v>
      </c>
    </row>
    <row r="172" spans="1:10" ht="18.75" customHeight="1" x14ac:dyDescent="0.3">
      <c r="A172" s="316">
        <v>45436</v>
      </c>
      <c r="B172" s="136"/>
      <c r="C172" s="136"/>
      <c r="D172" s="136"/>
      <c r="E172" s="136"/>
      <c r="F172" s="136"/>
      <c r="G172" s="136"/>
      <c r="H172" s="136"/>
      <c r="I172" s="145">
        <f t="shared" si="27"/>
        <v>0</v>
      </c>
      <c r="J172" s="315" t="s">
        <v>835</v>
      </c>
    </row>
    <row r="173" spans="1:10" ht="18.75" customHeight="1" x14ac:dyDescent="0.3">
      <c r="A173" s="316">
        <v>45441</v>
      </c>
      <c r="B173" s="136"/>
      <c r="C173" s="136"/>
      <c r="D173" s="136"/>
      <c r="E173" s="136"/>
      <c r="F173" s="136"/>
      <c r="G173" s="136"/>
      <c r="H173" s="136"/>
      <c r="I173" s="145">
        <f t="shared" si="27"/>
        <v>0</v>
      </c>
      <c r="J173" s="315" t="s">
        <v>836</v>
      </c>
    </row>
    <row r="174" spans="1:10" ht="18.75" customHeight="1" x14ac:dyDescent="0.3">
      <c r="A174" s="316">
        <v>45443</v>
      </c>
      <c r="B174" s="136"/>
      <c r="C174" s="136"/>
      <c r="D174" s="136"/>
      <c r="E174" s="136"/>
      <c r="F174" s="136"/>
      <c r="G174" s="136"/>
      <c r="H174" s="136"/>
      <c r="I174" s="145">
        <f t="shared" si="27"/>
        <v>0</v>
      </c>
      <c r="J174" s="315" t="s">
        <v>837</v>
      </c>
    </row>
    <row r="180" spans="1:10" ht="18.75" customHeight="1" x14ac:dyDescent="0.3">
      <c r="A180" s="311" t="s">
        <v>241</v>
      </c>
      <c r="B180" s="279">
        <f t="shared" ref="B180:H180" si="28">SUM(B156:B179)</f>
        <v>0</v>
      </c>
      <c r="C180" s="279">
        <f t="shared" si="28"/>
        <v>0</v>
      </c>
      <c r="D180" s="279">
        <f t="shared" si="28"/>
        <v>0</v>
      </c>
      <c r="E180" s="279">
        <f t="shared" si="28"/>
        <v>0</v>
      </c>
      <c r="F180" s="279">
        <f t="shared" si="28"/>
        <v>0</v>
      </c>
      <c r="G180" s="279">
        <f t="shared" si="28"/>
        <v>0</v>
      </c>
      <c r="H180" s="279">
        <f t="shared" si="28"/>
        <v>0</v>
      </c>
      <c r="I180" s="280">
        <f>SUM(B180:H180)</f>
        <v>0</v>
      </c>
      <c r="J180" s="308"/>
    </row>
    <row r="181" spans="1:10" ht="18.75" customHeight="1" x14ac:dyDescent="0.3">
      <c r="A181" s="311" t="s">
        <v>242</v>
      </c>
      <c r="B181" s="279">
        <f t="shared" ref="B181:H181" si="29">SUM(B154+B180)</f>
        <v>245616.69</v>
      </c>
      <c r="C181" s="279">
        <f t="shared" si="29"/>
        <v>54801.5</v>
      </c>
      <c r="D181" s="279">
        <f t="shared" si="29"/>
        <v>0</v>
      </c>
      <c r="E181" s="279">
        <f t="shared" si="29"/>
        <v>0</v>
      </c>
      <c r="F181" s="279">
        <f t="shared" si="29"/>
        <v>65430.5</v>
      </c>
      <c r="G181" s="279">
        <f t="shared" si="29"/>
        <v>0</v>
      </c>
      <c r="H181" s="279">
        <f t="shared" si="29"/>
        <v>2490</v>
      </c>
      <c r="I181" s="280">
        <f>SUM(B181:H181)</f>
        <v>368338.69</v>
      </c>
      <c r="J181" s="308"/>
    </row>
    <row r="182" spans="1:10" ht="18.75" customHeight="1" x14ac:dyDescent="0.3">
      <c r="A182" s="311" t="s">
        <v>243</v>
      </c>
      <c r="B182" s="279">
        <f>SUM(B155-B180)</f>
        <v>1454383.3099999998</v>
      </c>
      <c r="C182" s="279">
        <f>SUM(C155-C180)</f>
        <v>95198.500000000015</v>
      </c>
      <c r="D182" s="279">
        <f t="shared" ref="D182:H182" si="30">SUM(D155-D180)</f>
        <v>0</v>
      </c>
      <c r="E182" s="279">
        <f t="shared" si="30"/>
        <v>0</v>
      </c>
      <c r="F182" s="279">
        <f>SUM(F155-F180)</f>
        <v>1989569.5</v>
      </c>
      <c r="G182" s="279">
        <f t="shared" si="30"/>
        <v>32500</v>
      </c>
      <c r="H182" s="279">
        <f t="shared" si="30"/>
        <v>67510</v>
      </c>
      <c r="I182" s="280">
        <f>SUM(B182:H182)</f>
        <v>3639161.3099999996</v>
      </c>
      <c r="J182" s="308"/>
    </row>
    <row r="183" spans="1:10" ht="18.75" customHeight="1" x14ac:dyDescent="0.3">
      <c r="A183" s="277" t="s">
        <v>244</v>
      </c>
      <c r="B183" s="136"/>
      <c r="C183" s="136"/>
      <c r="D183" s="136"/>
      <c r="E183" s="136"/>
      <c r="F183" s="136"/>
      <c r="G183" s="136"/>
      <c r="H183" s="136"/>
      <c r="I183" s="145"/>
      <c r="J183" s="272"/>
    </row>
    <row r="184" spans="1:10" ht="18.75" customHeight="1" x14ac:dyDescent="0.3">
      <c r="A184" s="310">
        <v>45388</v>
      </c>
      <c r="B184" s="319"/>
      <c r="C184" s="136"/>
      <c r="D184" s="136"/>
      <c r="E184" s="136"/>
      <c r="F184" s="136"/>
      <c r="G184" s="136"/>
      <c r="H184" s="136"/>
      <c r="I184" s="145">
        <f t="shared" ref="I184:I199" si="31">SUM(B184:H184)</f>
        <v>0</v>
      </c>
      <c r="J184" s="272" t="s">
        <v>838</v>
      </c>
    </row>
    <row r="185" spans="1:10" ht="18.75" customHeight="1" x14ac:dyDescent="0.3">
      <c r="A185" s="310">
        <v>45449</v>
      </c>
      <c r="B185" s="319"/>
      <c r="C185" s="136"/>
      <c r="D185" s="136"/>
      <c r="E185" s="136"/>
      <c r="F185" s="136"/>
      <c r="G185" s="136"/>
      <c r="H185" s="136"/>
      <c r="I185" s="145">
        <f t="shared" si="31"/>
        <v>0</v>
      </c>
      <c r="J185" s="272" t="s">
        <v>839</v>
      </c>
    </row>
    <row r="186" spans="1:10" ht="18.75" customHeight="1" x14ac:dyDescent="0.3">
      <c r="A186" s="310">
        <v>45449</v>
      </c>
      <c r="B186" s="136"/>
      <c r="C186" s="136"/>
      <c r="D186" s="136"/>
      <c r="E186" s="136"/>
      <c r="F186" s="136"/>
      <c r="G186" s="136"/>
      <c r="H186" s="319"/>
      <c r="I186" s="145">
        <f t="shared" si="31"/>
        <v>0</v>
      </c>
      <c r="J186" s="272" t="s">
        <v>840</v>
      </c>
    </row>
    <row r="187" spans="1:10" ht="18.75" customHeight="1" x14ac:dyDescent="0.3">
      <c r="A187" s="310">
        <v>45449</v>
      </c>
      <c r="B187" s="319"/>
      <c r="C187" s="136"/>
      <c r="D187" s="136"/>
      <c r="E187" s="136"/>
      <c r="F187" s="136"/>
      <c r="G187" s="136"/>
      <c r="H187" s="136"/>
      <c r="I187" s="145">
        <f t="shared" si="31"/>
        <v>0</v>
      </c>
      <c r="J187" s="272" t="s">
        <v>841</v>
      </c>
    </row>
    <row r="188" spans="1:10" ht="18.75" customHeight="1" x14ac:dyDescent="0.3">
      <c r="A188" s="310">
        <v>45479</v>
      </c>
      <c r="B188" s="319"/>
      <c r="C188" s="136"/>
      <c r="D188" s="136"/>
      <c r="E188" s="136"/>
      <c r="F188" s="136"/>
      <c r="G188" s="136"/>
      <c r="H188" s="136"/>
      <c r="I188" s="145">
        <f t="shared" si="31"/>
        <v>0</v>
      </c>
      <c r="J188" s="272" t="s">
        <v>842</v>
      </c>
    </row>
    <row r="189" spans="1:10" ht="18.75" customHeight="1" x14ac:dyDescent="0.3">
      <c r="A189" s="310">
        <v>45632</v>
      </c>
      <c r="B189" s="319"/>
      <c r="C189" s="136"/>
      <c r="D189" s="136"/>
      <c r="E189" s="136"/>
      <c r="F189" s="136"/>
      <c r="G189" s="136"/>
      <c r="H189" s="136"/>
      <c r="I189" s="145">
        <f t="shared" si="31"/>
        <v>0</v>
      </c>
      <c r="J189" s="272" t="s">
        <v>843</v>
      </c>
    </row>
    <row r="190" spans="1:10" ht="18.75" customHeight="1" x14ac:dyDescent="0.3">
      <c r="A190" s="312" t="s">
        <v>321</v>
      </c>
      <c r="B190" s="319"/>
      <c r="C190" s="136"/>
      <c r="D190" s="136"/>
      <c r="E190" s="136"/>
      <c r="F190" s="136"/>
      <c r="G190" s="136"/>
      <c r="H190" s="136"/>
      <c r="I190" s="145">
        <f t="shared" si="31"/>
        <v>0</v>
      </c>
      <c r="J190" s="272" t="s">
        <v>844</v>
      </c>
    </row>
    <row r="191" spans="1:10" ht="18.75" customHeight="1" x14ac:dyDescent="0.3">
      <c r="A191" s="312" t="s">
        <v>845</v>
      </c>
      <c r="B191" s="136"/>
      <c r="C191" s="136"/>
      <c r="D191" s="136"/>
      <c r="E191" s="136"/>
      <c r="F191" s="319"/>
      <c r="G191" s="136"/>
      <c r="H191" s="136"/>
      <c r="I191" s="145">
        <f t="shared" si="31"/>
        <v>0</v>
      </c>
      <c r="J191" s="272" t="s">
        <v>846</v>
      </c>
    </row>
    <row r="192" spans="1:10" ht="18.75" customHeight="1" x14ac:dyDescent="0.3">
      <c r="A192" s="312" t="s">
        <v>773</v>
      </c>
      <c r="B192" s="136"/>
      <c r="C192" s="319"/>
      <c r="D192" s="136"/>
      <c r="E192" s="136"/>
      <c r="F192" s="136"/>
      <c r="G192" s="136"/>
      <c r="H192" s="136"/>
      <c r="I192" s="145">
        <f t="shared" si="31"/>
        <v>0</v>
      </c>
      <c r="J192" s="272" t="s">
        <v>847</v>
      </c>
    </row>
    <row r="193" spans="1:10" ht="18.75" customHeight="1" x14ac:dyDescent="0.3">
      <c r="A193" s="312" t="s">
        <v>263</v>
      </c>
      <c r="B193" s="319"/>
      <c r="C193" s="136"/>
      <c r="D193" s="136"/>
      <c r="E193" s="136"/>
      <c r="F193" s="136"/>
      <c r="G193" s="136"/>
      <c r="H193" s="136"/>
      <c r="I193" s="145">
        <f t="shared" si="31"/>
        <v>0</v>
      </c>
      <c r="J193" s="272" t="s">
        <v>848</v>
      </c>
    </row>
    <row r="194" spans="1:10" ht="18.75" customHeight="1" x14ac:dyDescent="0.3">
      <c r="A194" s="312" t="s">
        <v>263</v>
      </c>
      <c r="B194" s="319"/>
      <c r="C194" s="136"/>
      <c r="D194" s="136"/>
      <c r="E194" s="136"/>
      <c r="F194" s="136"/>
      <c r="G194" s="136"/>
      <c r="H194" s="136"/>
      <c r="I194" s="145">
        <f t="shared" si="31"/>
        <v>0</v>
      </c>
      <c r="J194" s="272" t="s">
        <v>849</v>
      </c>
    </row>
    <row r="195" spans="1:10" ht="18.75" customHeight="1" x14ac:dyDescent="0.3">
      <c r="A195" s="312">
        <v>45467</v>
      </c>
      <c r="B195" s="319"/>
      <c r="C195" s="136"/>
      <c r="D195" s="136"/>
      <c r="E195" s="136"/>
      <c r="F195" s="136"/>
      <c r="G195" s="136"/>
      <c r="H195" s="136"/>
      <c r="I195" s="145">
        <f t="shared" si="31"/>
        <v>0</v>
      </c>
      <c r="J195" s="272" t="s">
        <v>850</v>
      </c>
    </row>
    <row r="196" spans="1:10" ht="18.75" customHeight="1" x14ac:dyDescent="0.3">
      <c r="A196" s="312">
        <v>45467</v>
      </c>
      <c r="B196" s="319"/>
      <c r="C196" s="136"/>
      <c r="D196" s="136"/>
      <c r="E196" s="136"/>
      <c r="F196" s="136"/>
      <c r="G196" s="136"/>
      <c r="H196" s="136"/>
      <c r="I196" s="145">
        <f t="shared" si="31"/>
        <v>0</v>
      </c>
      <c r="J196" s="272" t="s">
        <v>851</v>
      </c>
    </row>
    <row r="197" spans="1:10" ht="18.75" customHeight="1" x14ac:dyDescent="0.3">
      <c r="A197" s="312">
        <v>45469</v>
      </c>
      <c r="B197" s="319"/>
      <c r="C197" s="136"/>
      <c r="D197" s="136"/>
      <c r="E197" s="136"/>
      <c r="F197" s="136"/>
      <c r="G197" s="136"/>
      <c r="H197" s="136"/>
      <c r="I197" s="145">
        <f t="shared" si="31"/>
        <v>0</v>
      </c>
      <c r="J197" s="272" t="s">
        <v>852</v>
      </c>
    </row>
    <row r="198" spans="1:10" ht="18.75" customHeight="1" x14ac:dyDescent="0.3">
      <c r="A198" s="312"/>
      <c r="B198" s="136"/>
      <c r="C198" s="136"/>
      <c r="D198" s="136"/>
      <c r="E198" s="136"/>
      <c r="F198" s="136"/>
      <c r="G198" s="136"/>
      <c r="H198" s="136"/>
      <c r="I198" s="145">
        <f t="shared" si="31"/>
        <v>0</v>
      </c>
      <c r="J198" s="272"/>
    </row>
    <row r="199" spans="1:10" ht="18.75" customHeight="1" x14ac:dyDescent="0.3">
      <c r="A199" s="312"/>
      <c r="B199" s="136"/>
      <c r="C199" s="136"/>
      <c r="D199" s="136"/>
      <c r="E199" s="136"/>
      <c r="F199" s="136"/>
      <c r="G199" s="136"/>
      <c r="H199" s="136"/>
      <c r="I199" s="145">
        <f t="shared" si="31"/>
        <v>0</v>
      </c>
      <c r="J199" s="272"/>
    </row>
    <row r="200" spans="1:10" ht="18.75" customHeight="1" x14ac:dyDescent="0.3">
      <c r="A200" s="310"/>
      <c r="B200" s="136"/>
      <c r="C200" s="136"/>
      <c r="D200" s="136"/>
      <c r="E200" s="136"/>
      <c r="F200" s="136"/>
      <c r="G200" s="136"/>
      <c r="H200" s="136"/>
      <c r="I200" s="145"/>
      <c r="J200" s="272"/>
    </row>
    <row r="201" spans="1:10" ht="18.75" customHeight="1" x14ac:dyDescent="0.3">
      <c r="A201" s="310"/>
      <c r="B201" s="136"/>
      <c r="C201" s="136"/>
      <c r="D201" s="136"/>
      <c r="E201" s="136"/>
      <c r="F201" s="136"/>
      <c r="G201" s="136"/>
      <c r="H201" s="136"/>
      <c r="I201" s="145"/>
      <c r="J201" s="272"/>
    </row>
    <row r="202" spans="1:10" ht="18.75" customHeight="1" x14ac:dyDescent="0.3">
      <c r="A202" s="311" t="s">
        <v>245</v>
      </c>
      <c r="B202" s="279">
        <f t="shared" ref="B202:H202" si="32">SUM(B183:B201)</f>
        <v>0</v>
      </c>
      <c r="C202" s="279">
        <f t="shared" si="32"/>
        <v>0</v>
      </c>
      <c r="D202" s="279">
        <f t="shared" si="32"/>
        <v>0</v>
      </c>
      <c r="E202" s="279">
        <f t="shared" si="32"/>
        <v>0</v>
      </c>
      <c r="F202" s="279">
        <f t="shared" si="32"/>
        <v>0</v>
      </c>
      <c r="G202" s="279">
        <f t="shared" si="32"/>
        <v>0</v>
      </c>
      <c r="H202" s="279">
        <f t="shared" si="32"/>
        <v>0</v>
      </c>
      <c r="I202" s="280">
        <f t="shared" ref="I202:I219" si="33">SUM(B202:H202)</f>
        <v>0</v>
      </c>
      <c r="J202" s="308"/>
    </row>
    <row r="203" spans="1:10" ht="18.75" customHeight="1" x14ac:dyDescent="0.3">
      <c r="A203" s="311" t="s">
        <v>246</v>
      </c>
      <c r="B203" s="279">
        <f t="shared" ref="B203:H203" si="34">SUM(B181+B202)</f>
        <v>245616.69</v>
      </c>
      <c r="C203" s="279">
        <f t="shared" si="34"/>
        <v>54801.5</v>
      </c>
      <c r="D203" s="279">
        <f t="shared" si="34"/>
        <v>0</v>
      </c>
      <c r="E203" s="279">
        <f t="shared" si="34"/>
        <v>0</v>
      </c>
      <c r="F203" s="279">
        <f t="shared" si="34"/>
        <v>65430.5</v>
      </c>
      <c r="G203" s="279">
        <f t="shared" si="34"/>
        <v>0</v>
      </c>
      <c r="H203" s="279">
        <f t="shared" si="34"/>
        <v>2490</v>
      </c>
      <c r="I203" s="280">
        <f t="shared" si="33"/>
        <v>368338.69</v>
      </c>
      <c r="J203" s="308"/>
    </row>
    <row r="204" spans="1:10" ht="18.75" customHeight="1" x14ac:dyDescent="0.3">
      <c r="A204" s="311" t="s">
        <v>247</v>
      </c>
      <c r="B204" s="279">
        <f t="shared" ref="B204:H204" si="35">SUM(B182-B202)</f>
        <v>1454383.3099999998</v>
      </c>
      <c r="C204" s="279">
        <f t="shared" si="35"/>
        <v>95198.500000000015</v>
      </c>
      <c r="D204" s="279">
        <f t="shared" si="35"/>
        <v>0</v>
      </c>
      <c r="E204" s="279">
        <f t="shared" si="35"/>
        <v>0</v>
      </c>
      <c r="F204" s="279">
        <f t="shared" si="35"/>
        <v>1989569.5</v>
      </c>
      <c r="G204" s="279">
        <f t="shared" si="35"/>
        <v>32500</v>
      </c>
      <c r="H204" s="279">
        <f t="shared" si="35"/>
        <v>67510</v>
      </c>
      <c r="I204" s="280">
        <f t="shared" si="33"/>
        <v>3639161.3099999996</v>
      </c>
      <c r="J204" s="308"/>
    </row>
    <row r="205" spans="1:10" ht="18.75" customHeight="1" x14ac:dyDescent="0.3">
      <c r="A205" s="277" t="s">
        <v>248</v>
      </c>
      <c r="B205" s="136"/>
      <c r="C205" s="136"/>
      <c r="D205" s="136"/>
      <c r="E205" s="136"/>
      <c r="F205" s="136"/>
      <c r="G205" s="136"/>
      <c r="H205" s="136"/>
      <c r="I205" s="195">
        <f t="shared" si="33"/>
        <v>0</v>
      </c>
      <c r="J205" s="272"/>
    </row>
    <row r="206" spans="1:10" ht="18.75" customHeight="1" x14ac:dyDescent="0.3">
      <c r="A206" s="310">
        <v>45474</v>
      </c>
      <c r="B206" s="136"/>
      <c r="C206" s="136"/>
      <c r="D206" s="136"/>
      <c r="E206" s="136"/>
      <c r="F206" s="136"/>
      <c r="G206" s="136"/>
      <c r="H206" s="136"/>
      <c r="I206" s="320">
        <f t="shared" si="33"/>
        <v>0</v>
      </c>
      <c r="J206" s="272" t="s">
        <v>853</v>
      </c>
    </row>
    <row r="207" spans="1:10" ht="18.75" customHeight="1" x14ac:dyDescent="0.3">
      <c r="A207" s="310">
        <v>45485</v>
      </c>
      <c r="B207" s="136"/>
      <c r="C207" s="136"/>
      <c r="D207" s="136"/>
      <c r="E207" s="136"/>
      <c r="F207" s="136"/>
      <c r="G207" s="136"/>
      <c r="H207" s="136"/>
      <c r="I207" s="320">
        <f t="shared" si="33"/>
        <v>0</v>
      </c>
      <c r="J207" s="272" t="s">
        <v>854</v>
      </c>
    </row>
    <row r="208" spans="1:10" ht="18.75" customHeight="1" x14ac:dyDescent="0.3">
      <c r="A208" s="310">
        <v>45489</v>
      </c>
      <c r="B208" s="136"/>
      <c r="C208" s="136"/>
      <c r="D208" s="136"/>
      <c r="E208" s="136"/>
      <c r="F208" s="136"/>
      <c r="G208" s="136"/>
      <c r="H208" s="136"/>
      <c r="I208" s="320">
        <f t="shared" si="33"/>
        <v>0</v>
      </c>
      <c r="J208" s="272" t="s">
        <v>855</v>
      </c>
    </row>
    <row r="209" spans="1:10" ht="18.75" customHeight="1" x14ac:dyDescent="0.3">
      <c r="A209" s="310">
        <v>45489</v>
      </c>
      <c r="B209" s="136"/>
      <c r="C209" s="136"/>
      <c r="D209" s="136"/>
      <c r="E209" s="136"/>
      <c r="F209" s="136"/>
      <c r="G209" s="136"/>
      <c r="H209" s="136"/>
      <c r="I209" s="320">
        <f t="shared" si="33"/>
        <v>0</v>
      </c>
      <c r="J209" s="272" t="s">
        <v>856</v>
      </c>
    </row>
    <row r="210" spans="1:10" ht="18.75" customHeight="1" x14ac:dyDescent="0.3">
      <c r="A210" s="310">
        <v>45489</v>
      </c>
      <c r="B210" s="136"/>
      <c r="C210" s="136"/>
      <c r="D210" s="136"/>
      <c r="E210" s="136"/>
      <c r="F210" s="136"/>
      <c r="G210" s="136"/>
      <c r="H210" s="136"/>
      <c r="I210" s="320">
        <f t="shared" si="33"/>
        <v>0</v>
      </c>
      <c r="J210" s="272" t="s">
        <v>857</v>
      </c>
    </row>
    <row r="211" spans="1:10" ht="18.75" customHeight="1" x14ac:dyDescent="0.3">
      <c r="A211" s="310">
        <v>45489</v>
      </c>
      <c r="B211" s="136"/>
      <c r="C211" s="136"/>
      <c r="D211" s="136"/>
      <c r="E211" s="136"/>
      <c r="F211" s="136"/>
      <c r="G211" s="136"/>
      <c r="H211" s="136"/>
      <c r="I211" s="320">
        <f t="shared" si="33"/>
        <v>0</v>
      </c>
      <c r="J211" s="272" t="s">
        <v>858</v>
      </c>
    </row>
    <row r="212" spans="1:10" ht="18.75" customHeight="1" x14ac:dyDescent="0.3">
      <c r="A212" s="310">
        <v>45496</v>
      </c>
      <c r="B212" s="136"/>
      <c r="C212" s="136"/>
      <c r="D212" s="136"/>
      <c r="E212" s="136"/>
      <c r="F212" s="136"/>
      <c r="G212" s="136"/>
      <c r="H212" s="136"/>
      <c r="I212" s="320">
        <f t="shared" si="33"/>
        <v>0</v>
      </c>
      <c r="J212" s="272" t="s">
        <v>859</v>
      </c>
    </row>
    <row r="213" spans="1:10" ht="18.75" customHeight="1" x14ac:dyDescent="0.3">
      <c r="A213" s="310">
        <v>45496</v>
      </c>
      <c r="B213" s="136"/>
      <c r="C213" s="136"/>
      <c r="D213" s="136"/>
      <c r="E213" s="136"/>
      <c r="F213" s="136"/>
      <c r="G213" s="136"/>
      <c r="H213" s="136"/>
      <c r="I213" s="320">
        <f t="shared" si="33"/>
        <v>0</v>
      </c>
      <c r="J213" s="272" t="s">
        <v>860</v>
      </c>
    </row>
    <row r="214" spans="1:10" ht="18.75" customHeight="1" x14ac:dyDescent="0.3">
      <c r="A214" s="310">
        <v>45496</v>
      </c>
      <c r="B214" s="136"/>
      <c r="C214" s="136"/>
      <c r="D214" s="136"/>
      <c r="E214" s="136"/>
      <c r="F214" s="136"/>
      <c r="G214" s="136"/>
      <c r="H214" s="136"/>
      <c r="I214" s="320">
        <f t="shared" si="33"/>
        <v>0</v>
      </c>
      <c r="J214" s="272" t="s">
        <v>861</v>
      </c>
    </row>
    <row r="215" spans="1:10" ht="18.75" customHeight="1" x14ac:dyDescent="0.3">
      <c r="A215" s="310">
        <v>45499</v>
      </c>
      <c r="B215" s="136"/>
      <c r="C215" s="136"/>
      <c r="D215" s="136"/>
      <c r="E215" s="136"/>
      <c r="F215" s="136"/>
      <c r="G215" s="136"/>
      <c r="H215" s="136"/>
      <c r="I215" s="320">
        <f t="shared" si="33"/>
        <v>0</v>
      </c>
      <c r="J215" s="272" t="s">
        <v>862</v>
      </c>
    </row>
    <row r="216" spans="1:10" ht="18.75" customHeight="1" x14ac:dyDescent="0.3">
      <c r="A216" s="310"/>
      <c r="B216" s="136"/>
      <c r="C216" s="136"/>
      <c r="D216" s="136"/>
      <c r="E216" s="136"/>
      <c r="F216" s="136"/>
      <c r="G216" s="136"/>
      <c r="H216" s="136"/>
      <c r="I216" s="195">
        <f t="shared" si="33"/>
        <v>0</v>
      </c>
      <c r="J216" s="272"/>
    </row>
    <row r="217" spans="1:10" ht="18.75" customHeight="1" x14ac:dyDescent="0.3">
      <c r="A217" s="310"/>
      <c r="B217" s="136"/>
      <c r="C217" s="136"/>
      <c r="D217" s="136"/>
      <c r="E217" s="136"/>
      <c r="F217" s="136"/>
      <c r="G217" s="136"/>
      <c r="H217" s="136"/>
      <c r="I217" s="195">
        <f t="shared" si="33"/>
        <v>0</v>
      </c>
      <c r="J217" s="272"/>
    </row>
    <row r="218" spans="1:10" ht="18.75" customHeight="1" x14ac:dyDescent="0.3">
      <c r="A218" s="310"/>
      <c r="B218" s="136"/>
      <c r="C218" s="136"/>
      <c r="D218" s="136"/>
      <c r="E218" s="136"/>
      <c r="F218" s="136"/>
      <c r="G218" s="136"/>
      <c r="H218" s="136"/>
      <c r="I218" s="195">
        <f t="shared" si="33"/>
        <v>0</v>
      </c>
      <c r="J218" s="272"/>
    </row>
    <row r="219" spans="1:10" ht="18.75" customHeight="1" x14ac:dyDescent="0.3">
      <c r="A219" s="310"/>
      <c r="B219" s="136"/>
      <c r="C219" s="136"/>
      <c r="D219" s="136"/>
      <c r="E219" s="136"/>
      <c r="F219" s="136"/>
      <c r="G219" s="136"/>
      <c r="H219" s="136"/>
      <c r="I219" s="195">
        <f t="shared" si="33"/>
        <v>0</v>
      </c>
      <c r="J219" s="272"/>
    </row>
    <row r="227" spans="1:10" ht="18.75" customHeight="1" x14ac:dyDescent="0.3">
      <c r="A227" s="311" t="s">
        <v>249</v>
      </c>
      <c r="B227" s="279">
        <f t="shared" ref="B227:H227" si="36">SUM(B205:B226)</f>
        <v>0</v>
      </c>
      <c r="C227" s="279">
        <f t="shared" si="36"/>
        <v>0</v>
      </c>
      <c r="D227" s="279">
        <f t="shared" si="36"/>
        <v>0</v>
      </c>
      <c r="E227" s="279">
        <f t="shared" si="36"/>
        <v>0</v>
      </c>
      <c r="F227" s="279">
        <f t="shared" si="36"/>
        <v>0</v>
      </c>
      <c r="G227" s="279">
        <f t="shared" si="36"/>
        <v>0</v>
      </c>
      <c r="H227" s="279">
        <f t="shared" si="36"/>
        <v>0</v>
      </c>
      <c r="I227" s="280">
        <f>SUM(B227:H227)</f>
        <v>0</v>
      </c>
      <c r="J227" s="308"/>
    </row>
    <row r="228" spans="1:10" ht="18.75" customHeight="1" x14ac:dyDescent="0.3">
      <c r="A228" s="311" t="s">
        <v>250</v>
      </c>
      <c r="B228" s="279">
        <f t="shared" ref="B228:H228" si="37">SUM(B203+B227)</f>
        <v>245616.69</v>
      </c>
      <c r="C228" s="279">
        <f t="shared" si="37"/>
        <v>54801.5</v>
      </c>
      <c r="D228" s="279">
        <f t="shared" si="37"/>
        <v>0</v>
      </c>
      <c r="E228" s="279">
        <f t="shared" si="37"/>
        <v>0</v>
      </c>
      <c r="F228" s="279">
        <f t="shared" si="37"/>
        <v>65430.5</v>
      </c>
      <c r="G228" s="279">
        <f t="shared" si="37"/>
        <v>0</v>
      </c>
      <c r="H228" s="279">
        <f t="shared" si="37"/>
        <v>2490</v>
      </c>
      <c r="I228" s="280">
        <f>SUM(B228:H228)</f>
        <v>368338.69</v>
      </c>
      <c r="J228" s="308"/>
    </row>
    <row r="229" spans="1:10" ht="18.75" customHeight="1" x14ac:dyDescent="0.3">
      <c r="A229" s="311" t="s">
        <v>251</v>
      </c>
      <c r="B229" s="279">
        <f t="shared" ref="B229:H229" si="38">SUM(B204-B227)</f>
        <v>1454383.3099999998</v>
      </c>
      <c r="C229" s="279">
        <f t="shared" si="38"/>
        <v>95198.500000000015</v>
      </c>
      <c r="D229" s="279">
        <f t="shared" si="38"/>
        <v>0</v>
      </c>
      <c r="E229" s="279">
        <f t="shared" si="38"/>
        <v>0</v>
      </c>
      <c r="F229" s="279">
        <f t="shared" si="38"/>
        <v>1989569.5</v>
      </c>
      <c r="G229" s="279">
        <f t="shared" si="38"/>
        <v>32500</v>
      </c>
      <c r="H229" s="279">
        <f t="shared" si="38"/>
        <v>67510</v>
      </c>
      <c r="I229" s="280">
        <f>SUM(B229:H229)</f>
        <v>3639161.3099999996</v>
      </c>
      <c r="J229" s="308"/>
    </row>
    <row r="230" spans="1:10" ht="18.75" customHeight="1" x14ac:dyDescent="0.3">
      <c r="A230" s="277" t="s">
        <v>252</v>
      </c>
      <c r="B230" s="136"/>
      <c r="C230" s="136"/>
      <c r="D230" s="136"/>
      <c r="E230" s="136"/>
      <c r="F230" s="136"/>
      <c r="G230" s="136"/>
      <c r="H230" s="136"/>
      <c r="I230" s="145"/>
      <c r="J230" s="272"/>
    </row>
    <row r="231" spans="1:10" ht="18.75" customHeight="1" x14ac:dyDescent="0.3">
      <c r="A231" s="310">
        <v>45509</v>
      </c>
      <c r="B231" s="136"/>
      <c r="C231" s="136"/>
      <c r="D231" s="136"/>
      <c r="E231" s="136"/>
      <c r="F231" s="136"/>
      <c r="G231" s="136"/>
      <c r="H231" s="136"/>
      <c r="I231" s="321">
        <f t="shared" ref="I231:I250" si="39">SUM(B231:H231)</f>
        <v>0</v>
      </c>
      <c r="J231" s="272" t="s">
        <v>863</v>
      </c>
    </row>
    <row r="232" spans="1:10" ht="18.75" customHeight="1" x14ac:dyDescent="0.3">
      <c r="A232" s="310">
        <v>45511</v>
      </c>
      <c r="B232" s="136"/>
      <c r="C232" s="136"/>
      <c r="D232" s="136"/>
      <c r="E232" s="136"/>
      <c r="F232" s="136"/>
      <c r="G232" s="136"/>
      <c r="H232" s="136"/>
      <c r="I232" s="321">
        <f t="shared" si="39"/>
        <v>0</v>
      </c>
      <c r="J232" s="272" t="s">
        <v>864</v>
      </c>
    </row>
    <row r="233" spans="1:10" ht="18.75" customHeight="1" x14ac:dyDescent="0.3">
      <c r="A233" s="310">
        <v>45511</v>
      </c>
      <c r="B233" s="136"/>
      <c r="C233" s="136"/>
      <c r="D233" s="136"/>
      <c r="E233" s="136"/>
      <c r="F233" s="136"/>
      <c r="G233" s="136"/>
      <c r="H233" s="136"/>
      <c r="I233" s="321">
        <f t="shared" si="39"/>
        <v>0</v>
      </c>
      <c r="J233" s="272" t="s">
        <v>865</v>
      </c>
    </row>
    <row r="234" spans="1:10" ht="18.75" customHeight="1" x14ac:dyDescent="0.3">
      <c r="A234" s="310">
        <v>45511</v>
      </c>
      <c r="B234" s="136"/>
      <c r="C234" s="136"/>
      <c r="D234" s="136"/>
      <c r="E234" s="136"/>
      <c r="F234" s="136"/>
      <c r="G234" s="136"/>
      <c r="H234" s="136"/>
      <c r="I234" s="321">
        <f t="shared" si="39"/>
        <v>0</v>
      </c>
      <c r="J234" s="272" t="s">
        <v>866</v>
      </c>
    </row>
    <row r="235" spans="1:10" ht="18.75" customHeight="1" x14ac:dyDescent="0.3">
      <c r="A235" s="310">
        <v>45512</v>
      </c>
      <c r="B235" s="136"/>
      <c r="C235" s="136"/>
      <c r="D235" s="136"/>
      <c r="E235" s="136"/>
      <c r="F235" s="136"/>
      <c r="G235" s="136"/>
      <c r="H235" s="136"/>
      <c r="I235" s="321">
        <f t="shared" si="39"/>
        <v>0</v>
      </c>
      <c r="J235" s="272" t="s">
        <v>867</v>
      </c>
    </row>
    <row r="236" spans="1:10" ht="18.75" customHeight="1" x14ac:dyDescent="0.3">
      <c r="A236" s="310">
        <v>45517</v>
      </c>
      <c r="B236" s="136"/>
      <c r="C236" s="136"/>
      <c r="D236" s="136"/>
      <c r="E236" s="136"/>
      <c r="F236" s="136"/>
      <c r="G236" s="136"/>
      <c r="H236" s="136"/>
      <c r="I236" s="321">
        <f t="shared" si="39"/>
        <v>0</v>
      </c>
      <c r="J236" s="272" t="s">
        <v>868</v>
      </c>
    </row>
    <row r="237" spans="1:10" ht="18.75" customHeight="1" x14ac:dyDescent="0.3">
      <c r="A237" s="310">
        <v>45519</v>
      </c>
      <c r="B237" s="136"/>
      <c r="C237" s="136"/>
      <c r="D237" s="136"/>
      <c r="E237" s="136"/>
      <c r="F237" s="136"/>
      <c r="G237" s="136"/>
      <c r="H237" s="136"/>
      <c r="I237" s="321">
        <f t="shared" si="39"/>
        <v>0</v>
      </c>
      <c r="J237" s="272" t="s">
        <v>869</v>
      </c>
    </row>
    <row r="238" spans="1:10" ht="18.75" customHeight="1" x14ac:dyDescent="0.3">
      <c r="A238" s="310">
        <v>45525</v>
      </c>
      <c r="B238" s="136"/>
      <c r="C238" s="136"/>
      <c r="D238" s="136"/>
      <c r="E238" s="136"/>
      <c r="F238" s="136"/>
      <c r="G238" s="136"/>
      <c r="H238" s="136"/>
      <c r="I238" s="321">
        <f t="shared" si="39"/>
        <v>0</v>
      </c>
      <c r="J238" s="272" t="s">
        <v>870</v>
      </c>
    </row>
    <row r="239" spans="1:10" ht="18.75" customHeight="1" x14ac:dyDescent="0.3">
      <c r="A239" s="310">
        <v>45527</v>
      </c>
      <c r="B239" s="136"/>
      <c r="C239" s="136"/>
      <c r="D239" s="136"/>
      <c r="E239" s="136"/>
      <c r="F239" s="136"/>
      <c r="G239" s="136"/>
      <c r="H239" s="136"/>
      <c r="I239" s="321">
        <f t="shared" si="39"/>
        <v>0</v>
      </c>
      <c r="J239" s="272" t="s">
        <v>871</v>
      </c>
    </row>
    <row r="240" spans="1:10" ht="18.75" customHeight="1" x14ac:dyDescent="0.3">
      <c r="A240" s="310">
        <v>45531</v>
      </c>
      <c r="B240" s="136"/>
      <c r="C240" s="136"/>
      <c r="D240" s="136"/>
      <c r="E240" s="136"/>
      <c r="F240" s="136"/>
      <c r="G240" s="136"/>
      <c r="H240" s="136"/>
      <c r="I240" s="321">
        <f t="shared" si="39"/>
        <v>0</v>
      </c>
      <c r="J240" s="272" t="s">
        <v>872</v>
      </c>
    </row>
    <row r="241" spans="1:10" ht="18.75" customHeight="1" x14ac:dyDescent="0.3">
      <c r="A241" s="310">
        <v>45501</v>
      </c>
      <c r="B241" s="136"/>
      <c r="C241" s="136"/>
      <c r="D241" s="136"/>
      <c r="E241" s="136"/>
      <c r="F241" s="136"/>
      <c r="G241" s="136"/>
      <c r="H241" s="136"/>
      <c r="I241" s="321">
        <f t="shared" si="39"/>
        <v>0</v>
      </c>
      <c r="J241" s="272" t="s">
        <v>873</v>
      </c>
    </row>
    <row r="242" spans="1:10" ht="18.75" customHeight="1" x14ac:dyDescent="0.3">
      <c r="A242" s="310">
        <v>45501</v>
      </c>
      <c r="B242" s="136"/>
      <c r="C242" s="136"/>
      <c r="D242" s="136"/>
      <c r="E242" s="136"/>
      <c r="F242" s="136"/>
      <c r="G242" s="136"/>
      <c r="H242" s="136"/>
      <c r="I242" s="321">
        <f t="shared" si="39"/>
        <v>0</v>
      </c>
      <c r="J242" s="272" t="s">
        <v>874</v>
      </c>
    </row>
    <row r="243" spans="1:10" ht="18.75" customHeight="1" x14ac:dyDescent="0.3">
      <c r="A243" s="310">
        <v>45501</v>
      </c>
      <c r="B243" s="136"/>
      <c r="C243" s="136"/>
      <c r="D243" s="136"/>
      <c r="E243" s="136"/>
      <c r="F243" s="136"/>
      <c r="G243" s="136"/>
      <c r="H243" s="136"/>
      <c r="I243" s="321">
        <f t="shared" si="39"/>
        <v>0</v>
      </c>
      <c r="J243" s="272" t="s">
        <v>875</v>
      </c>
    </row>
    <row r="244" spans="1:10" ht="18.75" customHeight="1" x14ac:dyDescent="0.3">
      <c r="A244" s="310"/>
      <c r="B244" s="136"/>
      <c r="C244" s="136"/>
      <c r="D244" s="136"/>
      <c r="E244" s="136"/>
      <c r="F244" s="136"/>
      <c r="G244" s="136"/>
      <c r="H244" s="136"/>
      <c r="I244" s="267">
        <f t="shared" si="39"/>
        <v>0</v>
      </c>
      <c r="J244" s="272"/>
    </row>
    <row r="245" spans="1:10" ht="18.75" customHeight="1" x14ac:dyDescent="0.3">
      <c r="A245" s="310"/>
      <c r="B245" s="136"/>
      <c r="C245" s="136"/>
      <c r="D245" s="136"/>
      <c r="E245" s="136"/>
      <c r="F245" s="136"/>
      <c r="G245" s="136"/>
      <c r="H245" s="136"/>
      <c r="I245" s="267">
        <f t="shared" si="39"/>
        <v>0</v>
      </c>
      <c r="J245" s="272"/>
    </row>
    <row r="246" spans="1:10" ht="18.75" customHeight="1" x14ac:dyDescent="0.3">
      <c r="A246" s="310"/>
      <c r="B246" s="136"/>
      <c r="C246" s="136"/>
      <c r="D246" s="136"/>
      <c r="E246" s="136"/>
      <c r="F246" s="136"/>
      <c r="G246" s="136"/>
      <c r="H246" s="136"/>
      <c r="I246" s="267">
        <f t="shared" si="39"/>
        <v>0</v>
      </c>
      <c r="J246" s="272"/>
    </row>
    <row r="247" spans="1:10" ht="18.75" customHeight="1" x14ac:dyDescent="0.3">
      <c r="A247" s="310"/>
      <c r="B247" s="136"/>
      <c r="C247" s="136"/>
      <c r="D247" s="136"/>
      <c r="E247" s="136"/>
      <c r="F247" s="136"/>
      <c r="G247" s="136"/>
      <c r="H247" s="136"/>
      <c r="I247" s="267">
        <f t="shared" si="39"/>
        <v>0</v>
      </c>
      <c r="J247" s="272"/>
    </row>
    <row r="248" spans="1:10" ht="18.75" customHeight="1" x14ac:dyDescent="0.3">
      <c r="A248" s="310"/>
      <c r="B248" s="136"/>
      <c r="C248" s="136"/>
      <c r="D248" s="136"/>
      <c r="E248" s="136"/>
      <c r="F248" s="136"/>
      <c r="G248" s="136"/>
      <c r="H248" s="136"/>
      <c r="I248" s="267">
        <f t="shared" si="39"/>
        <v>0</v>
      </c>
      <c r="J248" s="272"/>
    </row>
    <row r="249" spans="1:10" ht="18.75" customHeight="1" x14ac:dyDescent="0.3">
      <c r="A249" s="310"/>
      <c r="B249" s="136"/>
      <c r="C249" s="136"/>
      <c r="D249" s="136"/>
      <c r="E249" s="136"/>
      <c r="F249" s="136"/>
      <c r="G249" s="136"/>
      <c r="H249" s="136"/>
      <c r="I249" s="267">
        <f t="shared" si="39"/>
        <v>0</v>
      </c>
      <c r="J249" s="272"/>
    </row>
    <row r="250" spans="1:10" ht="18.75" customHeight="1" x14ac:dyDescent="0.3">
      <c r="A250" s="310"/>
      <c r="B250" s="136"/>
      <c r="C250" s="136"/>
      <c r="D250" s="136"/>
      <c r="E250" s="136"/>
      <c r="F250" s="136"/>
      <c r="G250" s="136"/>
      <c r="H250" s="136"/>
      <c r="I250" s="267">
        <f t="shared" si="39"/>
        <v>0</v>
      </c>
      <c r="J250" s="272"/>
    </row>
    <row r="251" spans="1:10" ht="18.75" customHeight="1" x14ac:dyDescent="0.3">
      <c r="A251" s="310"/>
      <c r="B251" s="136"/>
      <c r="C251" s="136"/>
      <c r="D251" s="136"/>
      <c r="E251" s="136"/>
      <c r="F251" s="136"/>
      <c r="G251" s="136"/>
      <c r="H251" s="136"/>
      <c r="I251" s="145"/>
      <c r="J251" s="272"/>
    </row>
    <row r="252" spans="1:10" ht="18.75" customHeight="1" x14ac:dyDescent="0.3">
      <c r="A252" s="311" t="s">
        <v>253</v>
      </c>
      <c r="B252" s="279">
        <f t="shared" ref="B252:H252" si="40">SUM(B230:B251)</f>
        <v>0</v>
      </c>
      <c r="C252" s="279">
        <f t="shared" si="40"/>
        <v>0</v>
      </c>
      <c r="D252" s="279">
        <f t="shared" si="40"/>
        <v>0</v>
      </c>
      <c r="E252" s="279">
        <f t="shared" si="40"/>
        <v>0</v>
      </c>
      <c r="F252" s="279">
        <f t="shared" si="40"/>
        <v>0</v>
      </c>
      <c r="G252" s="279">
        <f t="shared" si="40"/>
        <v>0</v>
      </c>
      <c r="H252" s="279">
        <f t="shared" si="40"/>
        <v>0</v>
      </c>
      <c r="I252" s="280">
        <f>SUM(B252:H252)</f>
        <v>0</v>
      </c>
      <c r="J252" s="308"/>
    </row>
    <row r="253" spans="1:10" ht="18.75" customHeight="1" x14ac:dyDescent="0.3">
      <c r="A253" s="311" t="s">
        <v>254</v>
      </c>
      <c r="B253" s="279">
        <f t="shared" ref="B253:H253" si="41">SUM(B228+B252)</f>
        <v>245616.69</v>
      </c>
      <c r="C253" s="279">
        <f t="shared" si="41"/>
        <v>54801.5</v>
      </c>
      <c r="D253" s="279">
        <f t="shared" si="41"/>
        <v>0</v>
      </c>
      <c r="E253" s="279">
        <f t="shared" si="41"/>
        <v>0</v>
      </c>
      <c r="F253" s="279">
        <f t="shared" si="41"/>
        <v>65430.5</v>
      </c>
      <c r="G253" s="279">
        <f t="shared" si="41"/>
        <v>0</v>
      </c>
      <c r="H253" s="279">
        <f t="shared" si="41"/>
        <v>2490</v>
      </c>
      <c r="I253" s="280">
        <f>SUM(B253:H253)</f>
        <v>368338.69</v>
      </c>
      <c r="J253" s="308"/>
    </row>
    <row r="254" spans="1:10" ht="18.75" customHeight="1" x14ac:dyDescent="0.3">
      <c r="A254" s="311" t="s">
        <v>255</v>
      </c>
      <c r="B254" s="279">
        <f t="shared" ref="B254:H254" si="42">SUM(B229-B252)</f>
        <v>1454383.3099999998</v>
      </c>
      <c r="C254" s="279">
        <f t="shared" si="42"/>
        <v>95198.500000000015</v>
      </c>
      <c r="D254" s="279">
        <f t="shared" si="42"/>
        <v>0</v>
      </c>
      <c r="E254" s="279">
        <f t="shared" si="42"/>
        <v>0</v>
      </c>
      <c r="F254" s="279">
        <f t="shared" si="42"/>
        <v>1989569.5</v>
      </c>
      <c r="G254" s="279">
        <f t="shared" si="42"/>
        <v>32500</v>
      </c>
      <c r="H254" s="279">
        <f t="shared" si="42"/>
        <v>67510</v>
      </c>
      <c r="I254" s="280">
        <f>SUM(B254:H254)</f>
        <v>3639161.3099999996</v>
      </c>
      <c r="J254" s="308"/>
    </row>
    <row r="255" spans="1:10" ht="18.75" customHeight="1" x14ac:dyDescent="0.3">
      <c r="A255" s="277" t="s">
        <v>256</v>
      </c>
      <c r="B255" s="136"/>
      <c r="C255" s="136"/>
      <c r="D255" s="136"/>
      <c r="E255" s="136"/>
      <c r="F255" s="136"/>
      <c r="G255" s="136"/>
      <c r="H255" s="136"/>
      <c r="I255" s="145">
        <f>SUM(B255:H255)</f>
        <v>0</v>
      </c>
      <c r="J255" s="272"/>
    </row>
    <row r="256" spans="1:10" ht="18.75" customHeight="1" x14ac:dyDescent="0.3">
      <c r="A256" s="310">
        <v>45331</v>
      </c>
      <c r="B256" s="136"/>
      <c r="C256" s="136"/>
      <c r="D256" s="136"/>
      <c r="E256" s="136"/>
      <c r="F256" s="136"/>
      <c r="G256" s="136"/>
      <c r="H256" s="136"/>
      <c r="I256" s="661"/>
      <c r="J256" s="272" t="s">
        <v>1025</v>
      </c>
    </row>
    <row r="257" spans="1:10" ht="18.75" customHeight="1" x14ac:dyDescent="0.3">
      <c r="A257" s="310">
        <v>45421</v>
      </c>
      <c r="B257" s="136"/>
      <c r="C257" s="136"/>
      <c r="D257" s="136"/>
      <c r="E257" s="136"/>
      <c r="F257" s="136"/>
      <c r="G257" s="136"/>
      <c r="H257" s="136"/>
      <c r="I257" s="661"/>
      <c r="J257" s="272" t="s">
        <v>1037</v>
      </c>
    </row>
    <row r="258" spans="1:10" ht="18.75" customHeight="1" x14ac:dyDescent="0.3">
      <c r="A258" s="310">
        <v>45421</v>
      </c>
      <c r="B258" s="136"/>
      <c r="C258" s="136"/>
      <c r="D258" s="136"/>
      <c r="E258" s="136"/>
      <c r="F258" s="136"/>
      <c r="G258" s="136"/>
      <c r="H258" s="136"/>
      <c r="I258" s="661"/>
      <c r="J258" s="272" t="s">
        <v>1043</v>
      </c>
    </row>
    <row r="259" spans="1:10" ht="18.75" customHeight="1" x14ac:dyDescent="0.3">
      <c r="A259" s="310">
        <v>45544</v>
      </c>
      <c r="B259" s="136"/>
      <c r="C259" s="136"/>
      <c r="D259" s="136"/>
      <c r="E259" s="136"/>
      <c r="F259" s="136"/>
      <c r="G259" s="136"/>
      <c r="H259" s="136"/>
      <c r="I259" s="661"/>
      <c r="J259" s="272" t="s">
        <v>1048</v>
      </c>
    </row>
    <row r="260" spans="1:10" ht="18.75" customHeight="1" x14ac:dyDescent="0.3">
      <c r="A260" s="312" t="s">
        <v>1062</v>
      </c>
      <c r="B260" s="136"/>
      <c r="C260" s="136"/>
      <c r="D260" s="136"/>
      <c r="E260" s="136"/>
      <c r="F260" s="136"/>
      <c r="G260" s="136"/>
      <c r="H260" s="136"/>
      <c r="I260" s="661"/>
      <c r="J260" s="272" t="s">
        <v>1063</v>
      </c>
    </row>
    <row r="261" spans="1:10" ht="18.75" customHeight="1" x14ac:dyDescent="0.3">
      <c r="A261" s="312" t="s">
        <v>1062</v>
      </c>
      <c r="B261" s="136"/>
      <c r="C261" s="136"/>
      <c r="D261" s="136"/>
      <c r="E261" s="136"/>
      <c r="F261" s="136"/>
      <c r="G261" s="136"/>
      <c r="H261" s="136"/>
      <c r="I261" s="661"/>
      <c r="J261" s="272" t="s">
        <v>1064</v>
      </c>
    </row>
    <row r="262" spans="1:10" ht="18.75" customHeight="1" x14ac:dyDescent="0.3">
      <c r="A262" s="312" t="s">
        <v>1062</v>
      </c>
      <c r="B262" s="136"/>
      <c r="C262" s="136"/>
      <c r="D262" s="136"/>
      <c r="E262" s="136"/>
      <c r="F262" s="136"/>
      <c r="G262" s="136"/>
      <c r="H262" s="136"/>
      <c r="I262" s="661"/>
      <c r="J262" s="272" t="s">
        <v>1065</v>
      </c>
    </row>
    <row r="263" spans="1:10" ht="18.75" customHeight="1" x14ac:dyDescent="0.3">
      <c r="A263" s="312" t="s">
        <v>1067</v>
      </c>
      <c r="B263" s="136"/>
      <c r="C263" s="136"/>
      <c r="D263" s="136"/>
      <c r="E263" s="136"/>
      <c r="F263" s="136"/>
      <c r="G263" s="136"/>
      <c r="H263" s="136"/>
      <c r="I263" s="661"/>
      <c r="J263" s="272" t="s">
        <v>1076</v>
      </c>
    </row>
    <row r="264" spans="1:10" ht="18.75" customHeight="1" x14ac:dyDescent="0.3">
      <c r="A264" s="312" t="s">
        <v>1082</v>
      </c>
      <c r="B264" s="136"/>
      <c r="C264" s="136"/>
      <c r="D264" s="136"/>
      <c r="E264" s="136"/>
      <c r="F264" s="136"/>
      <c r="G264" s="136"/>
      <c r="H264" s="136"/>
      <c r="I264" s="661"/>
      <c r="J264" s="272" t="s">
        <v>1083</v>
      </c>
    </row>
    <row r="265" spans="1:10" ht="18.75" customHeight="1" x14ac:dyDescent="0.3">
      <c r="A265" s="312" t="s">
        <v>1090</v>
      </c>
      <c r="B265" s="136"/>
      <c r="C265" s="136"/>
      <c r="D265" s="136"/>
      <c r="E265" s="136"/>
      <c r="F265" s="136"/>
      <c r="G265" s="136"/>
      <c r="H265" s="136"/>
      <c r="I265" s="661"/>
      <c r="J265" s="272" t="s">
        <v>1098</v>
      </c>
    </row>
    <row r="266" spans="1:10" ht="18.75" customHeight="1" x14ac:dyDescent="0.3">
      <c r="A266" s="312" t="s">
        <v>1153</v>
      </c>
      <c r="B266" s="136"/>
      <c r="C266" s="136"/>
      <c r="D266" s="136"/>
      <c r="E266" s="136"/>
      <c r="F266" s="136"/>
      <c r="G266" s="136"/>
      <c r="H266" s="136"/>
      <c r="I266" s="661"/>
      <c r="J266" s="272" t="s">
        <v>1165</v>
      </c>
    </row>
    <row r="267" spans="1:10" ht="18.75" customHeight="1" x14ac:dyDescent="0.3">
      <c r="A267" s="312" t="s">
        <v>1153</v>
      </c>
      <c r="B267" s="136"/>
      <c r="C267" s="136"/>
      <c r="D267" s="136"/>
      <c r="E267" s="136"/>
      <c r="F267" s="136"/>
      <c r="G267" s="136"/>
      <c r="H267" s="136"/>
      <c r="I267" s="661"/>
      <c r="J267" s="272" t="s">
        <v>1181</v>
      </c>
    </row>
    <row r="268" spans="1:10" ht="18.75" customHeight="1" x14ac:dyDescent="0.3">
      <c r="A268" s="310"/>
      <c r="B268" s="136"/>
      <c r="C268" s="136"/>
      <c r="D268" s="136"/>
      <c r="E268" s="136"/>
      <c r="F268" s="136"/>
      <c r="G268" s="136"/>
      <c r="H268" s="136"/>
      <c r="I268" s="661"/>
      <c r="J268" s="272"/>
    </row>
    <row r="269" spans="1:10" ht="18.75" customHeight="1" x14ac:dyDescent="0.3">
      <c r="A269" s="310"/>
      <c r="B269" s="136"/>
      <c r="C269" s="136"/>
      <c r="D269" s="136"/>
      <c r="E269" s="136"/>
      <c r="F269" s="136"/>
      <c r="G269" s="136"/>
      <c r="H269" s="136"/>
      <c r="I269" s="661"/>
      <c r="J269" s="272"/>
    </row>
    <row r="270" spans="1:10" ht="18.75" customHeight="1" x14ac:dyDescent="0.3">
      <c r="A270" s="310"/>
      <c r="B270" s="136"/>
      <c r="C270" s="136"/>
      <c r="D270" s="136"/>
      <c r="E270" s="136"/>
      <c r="F270" s="136"/>
      <c r="G270" s="136"/>
      <c r="H270" s="136"/>
      <c r="I270" s="661"/>
      <c r="J270" s="272"/>
    </row>
    <row r="271" spans="1:10" ht="18.75" customHeight="1" x14ac:dyDescent="0.3">
      <c r="A271" s="310"/>
      <c r="B271" s="136"/>
      <c r="C271" s="136"/>
      <c r="D271" s="136"/>
      <c r="E271" s="136"/>
      <c r="F271" s="136"/>
      <c r="G271" s="136"/>
      <c r="H271" s="136"/>
      <c r="I271" s="661">
        <f t="shared" ref="I271:I276" si="43">SUM(B271:H271)</f>
        <v>0</v>
      </c>
      <c r="J271" s="272"/>
    </row>
    <row r="272" spans="1:10" ht="18.75" customHeight="1" x14ac:dyDescent="0.3">
      <c r="A272" s="310"/>
      <c r="B272" s="136"/>
      <c r="C272" s="136"/>
      <c r="D272" s="136"/>
      <c r="E272" s="136"/>
      <c r="F272" s="136"/>
      <c r="G272" s="136"/>
      <c r="H272" s="136"/>
      <c r="I272" s="661">
        <f t="shared" si="43"/>
        <v>0</v>
      </c>
      <c r="J272" s="272"/>
    </row>
    <row r="273" spans="1:10" ht="18.75" customHeight="1" x14ac:dyDescent="0.3">
      <c r="A273" s="310"/>
      <c r="B273" s="136"/>
      <c r="C273" s="136"/>
      <c r="D273" s="136"/>
      <c r="E273" s="136"/>
      <c r="F273" s="136"/>
      <c r="G273" s="136"/>
      <c r="H273" s="136"/>
      <c r="I273" s="661">
        <f t="shared" si="43"/>
        <v>0</v>
      </c>
      <c r="J273" s="272"/>
    </row>
    <row r="274" spans="1:10" ht="18.75" customHeight="1" x14ac:dyDescent="0.3">
      <c r="A274" s="310"/>
      <c r="B274" s="136"/>
      <c r="C274" s="136"/>
      <c r="D274" s="136"/>
      <c r="E274" s="136"/>
      <c r="F274" s="136"/>
      <c r="G274" s="136"/>
      <c r="H274" s="136"/>
      <c r="I274" s="661">
        <f t="shared" si="43"/>
        <v>0</v>
      </c>
      <c r="J274" s="272"/>
    </row>
    <row r="275" spans="1:10" ht="18.75" customHeight="1" x14ac:dyDescent="0.3">
      <c r="A275" s="310"/>
      <c r="B275" s="136"/>
      <c r="C275" s="136"/>
      <c r="D275" s="136"/>
      <c r="E275" s="136"/>
      <c r="F275" s="136"/>
      <c r="G275" s="136"/>
      <c r="H275" s="136"/>
      <c r="I275" s="661">
        <f t="shared" si="43"/>
        <v>0</v>
      </c>
      <c r="J275" s="272"/>
    </row>
    <row r="276" spans="1:10" ht="18.75" customHeight="1" x14ac:dyDescent="0.3">
      <c r="A276" s="310"/>
      <c r="B276" s="136"/>
      <c r="C276" s="136"/>
      <c r="D276" s="136"/>
      <c r="E276" s="136"/>
      <c r="F276" s="136"/>
      <c r="G276" s="136"/>
      <c r="H276" s="136"/>
      <c r="I276" s="661">
        <f t="shared" si="43"/>
        <v>0</v>
      </c>
      <c r="J276" s="272"/>
    </row>
    <row r="277" spans="1:10" ht="18.75" customHeight="1" x14ac:dyDescent="0.3">
      <c r="A277" s="310"/>
      <c r="B277" s="136"/>
      <c r="C277" s="136"/>
      <c r="D277" s="136"/>
      <c r="E277" s="136"/>
      <c r="F277" s="136"/>
      <c r="G277" s="136"/>
      <c r="H277" s="136"/>
      <c r="I277" s="145"/>
      <c r="J277" s="272"/>
    </row>
    <row r="278" spans="1:10" ht="18.75" customHeight="1" x14ac:dyDescent="0.3">
      <c r="A278" s="310"/>
      <c r="B278" s="136"/>
      <c r="C278" s="136"/>
      <c r="D278" s="136"/>
      <c r="E278" s="136"/>
      <c r="F278" s="136"/>
      <c r="G278" s="136"/>
      <c r="H278" s="136"/>
      <c r="I278" s="145"/>
      <c r="J278" s="272"/>
    </row>
    <row r="279" spans="1:10" ht="18.75" customHeight="1" x14ac:dyDescent="0.3">
      <c r="A279" s="311" t="s">
        <v>257</v>
      </c>
      <c r="B279" s="279">
        <f t="shared" ref="B279:H279" si="44">SUM(B255:B278)</f>
        <v>0</v>
      </c>
      <c r="C279" s="279">
        <f t="shared" si="44"/>
        <v>0</v>
      </c>
      <c r="D279" s="279">
        <f t="shared" si="44"/>
        <v>0</v>
      </c>
      <c r="E279" s="279">
        <f t="shared" si="44"/>
        <v>0</v>
      </c>
      <c r="F279" s="279">
        <f t="shared" si="44"/>
        <v>0</v>
      </c>
      <c r="G279" s="279">
        <f t="shared" si="44"/>
        <v>0</v>
      </c>
      <c r="H279" s="279">
        <f t="shared" si="44"/>
        <v>0</v>
      </c>
      <c r="I279" s="280">
        <f>SUM(B279:H279)</f>
        <v>0</v>
      </c>
      <c r="J279" s="308"/>
    </row>
    <row r="280" spans="1:10" ht="18.75" customHeight="1" x14ac:dyDescent="0.3">
      <c r="A280" s="311" t="s">
        <v>258</v>
      </c>
      <c r="B280" s="279">
        <f t="shared" ref="B280:H280" si="45">SUM(B253+B279)</f>
        <v>245616.69</v>
      </c>
      <c r="C280" s="279">
        <f t="shared" si="45"/>
        <v>54801.5</v>
      </c>
      <c r="D280" s="279">
        <f t="shared" si="45"/>
        <v>0</v>
      </c>
      <c r="E280" s="279">
        <f t="shared" si="45"/>
        <v>0</v>
      </c>
      <c r="F280" s="279">
        <f t="shared" si="45"/>
        <v>65430.5</v>
      </c>
      <c r="G280" s="279">
        <f t="shared" si="45"/>
        <v>0</v>
      </c>
      <c r="H280" s="279">
        <f t="shared" si="45"/>
        <v>2490</v>
      </c>
      <c r="I280" s="280">
        <f>SUM(B280:H280)</f>
        <v>368338.69</v>
      </c>
      <c r="J280" s="308"/>
    </row>
    <row r="281" spans="1:10" ht="18.75" customHeight="1" x14ac:dyDescent="0.3">
      <c r="A281" s="311" t="s">
        <v>259</v>
      </c>
      <c r="B281" s="279">
        <f t="shared" ref="B281:H281" si="46">SUM(B254-B279)</f>
        <v>1454383.3099999998</v>
      </c>
      <c r="C281" s="279">
        <f t="shared" si="46"/>
        <v>95198.500000000015</v>
      </c>
      <c r="D281" s="279">
        <f t="shared" si="46"/>
        <v>0</v>
      </c>
      <c r="E281" s="279">
        <f t="shared" si="46"/>
        <v>0</v>
      </c>
      <c r="F281" s="279">
        <f t="shared" si="46"/>
        <v>1989569.5</v>
      </c>
      <c r="G281" s="279">
        <f t="shared" si="46"/>
        <v>32500</v>
      </c>
      <c r="H281" s="279">
        <f t="shared" si="46"/>
        <v>67510</v>
      </c>
      <c r="I281" s="280">
        <f>SUM(B281:H281)</f>
        <v>3639161.3099999996</v>
      </c>
      <c r="J281" s="308"/>
    </row>
  </sheetData>
  <conditionalFormatting sqref="B36:G44 I81:I96 B100:G115 I101:I130 B116:H130 B156:G176 H157:H176">
    <cfRule type="cellIs" dxfId="201" priority="4" stopIfTrue="1" operator="lessThan">
      <formula>0</formula>
    </cfRule>
  </conditionalFormatting>
  <conditionalFormatting sqref="B80:G93">
    <cfRule type="cellIs" dxfId="200" priority="5" stopIfTrue="1" operator="lessThan">
      <formula>0</formula>
    </cfRule>
  </conditionalFormatting>
  <conditionalFormatting sqref="B134:G149">
    <cfRule type="cellIs" dxfId="199" priority="6" stopIfTrue="1" operator="lessThan">
      <formula>0</formula>
    </cfRule>
  </conditionalFormatting>
  <conditionalFormatting sqref="B230:G244">
    <cfRule type="cellIs" dxfId="198" priority="8" stopIfTrue="1" operator="lessThan">
      <formula>0</formula>
    </cfRule>
  </conditionalFormatting>
  <conditionalFormatting sqref="B255:G269">
    <cfRule type="cellIs" dxfId="197" priority="9" stopIfTrue="1" operator="lessThan">
      <formula>0</formula>
    </cfRule>
  </conditionalFormatting>
  <conditionalFormatting sqref="B11:H11">
    <cfRule type="cellIs" dxfId="196" priority="11" stopIfTrue="1" operator="lessThan">
      <formula>0</formula>
    </cfRule>
  </conditionalFormatting>
  <conditionalFormatting sqref="B60:H61">
    <cfRule type="cellIs" dxfId="195" priority="12" stopIfTrue="1" operator="lessThan">
      <formula>0</formula>
    </cfRule>
  </conditionalFormatting>
  <conditionalFormatting sqref="B65:H67">
    <cfRule type="cellIs" dxfId="194" priority="13" stopIfTrue="1" operator="lessThan">
      <formula>0</formula>
    </cfRule>
  </conditionalFormatting>
  <conditionalFormatting sqref="B94:H96">
    <cfRule type="cellIs" dxfId="193" priority="14" stopIfTrue="1" operator="lessThan">
      <formula>0</formula>
    </cfRule>
  </conditionalFormatting>
  <conditionalFormatting sqref="B149:H152">
    <cfRule type="cellIs" dxfId="192" priority="15" stopIfTrue="1" operator="lessThan">
      <formula>0</formula>
    </cfRule>
  </conditionalFormatting>
  <conditionalFormatting sqref="B177:H179">
    <cfRule type="cellIs" dxfId="191" priority="16" stopIfTrue="1" operator="lessThan">
      <formula>0</formula>
    </cfRule>
  </conditionalFormatting>
  <conditionalFormatting sqref="B183:H201">
    <cfRule type="cellIs" dxfId="190" priority="17" stopIfTrue="1" operator="lessThan">
      <formula>0</formula>
    </cfRule>
  </conditionalFormatting>
  <conditionalFormatting sqref="B205:H226">
    <cfRule type="cellIs" dxfId="189" priority="7" stopIfTrue="1" operator="lessThan">
      <formula>0</formula>
    </cfRule>
  </conditionalFormatting>
  <conditionalFormatting sqref="B245:H251">
    <cfRule type="cellIs" dxfId="188" priority="19" stopIfTrue="1" operator="lessThan">
      <formula>0</formula>
    </cfRule>
  </conditionalFormatting>
  <conditionalFormatting sqref="B270:H278">
    <cfRule type="cellIs" dxfId="187" priority="20" stopIfTrue="1" operator="lessThan">
      <formula>0</formula>
    </cfRule>
  </conditionalFormatting>
  <conditionalFormatting sqref="I22:I32 B18:I29">
    <cfRule type="cellIs" dxfId="186" priority="21" stopIfTrue="1" operator="lessThan">
      <formula>0</formula>
    </cfRule>
  </conditionalFormatting>
  <conditionalFormatting sqref="B282:I1026">
    <cfRule type="cellIs" dxfId="185" priority="22" stopIfTrue="1" operator="lessThan">
      <formula>0</formula>
    </cfRule>
  </conditionalFormatting>
  <conditionalFormatting sqref="H24">
    <cfRule type="cellIs" dxfId="184" priority="23" stopIfTrue="1" operator="lessThan">
      <formula>0</formula>
    </cfRule>
  </conditionalFormatting>
  <conditionalFormatting sqref="H37:H44">
    <cfRule type="cellIs" dxfId="183" priority="24" stopIfTrue="1" operator="lessThan">
      <formula>0</formula>
    </cfRule>
  </conditionalFormatting>
  <conditionalFormatting sqref="H81:H93">
    <cfRule type="cellIs" dxfId="182" priority="25" stopIfTrue="1" operator="lessThan">
      <formula>0</formula>
    </cfRule>
  </conditionalFormatting>
  <conditionalFormatting sqref="H102:H115">
    <cfRule type="cellIs" dxfId="181" priority="26" stopIfTrue="1" operator="lessThan">
      <formula>0</formula>
    </cfRule>
  </conditionalFormatting>
  <conditionalFormatting sqref="H135:H149 I135:I152">
    <cfRule type="cellIs" dxfId="180" priority="27" stopIfTrue="1" operator="lessThan">
      <formula>0</formula>
    </cfRule>
  </conditionalFormatting>
  <conditionalFormatting sqref="H231:H244 I251">
    <cfRule type="cellIs" dxfId="179" priority="29" stopIfTrue="1" operator="lessThan">
      <formula>0</formula>
    </cfRule>
  </conditionalFormatting>
  <conditionalFormatting sqref="H256:H269 I256:I276">
    <cfRule type="cellIs" dxfId="178" priority="40" stopIfTrue="1" operator="lessThan">
      <formula>0</formula>
    </cfRule>
  </conditionalFormatting>
  <conditionalFormatting sqref="H36:I36">
    <cfRule type="cellIs" dxfId="177" priority="30" stopIfTrue="1" operator="lessThan">
      <formula>0</formula>
    </cfRule>
  </conditionalFormatting>
  <conditionalFormatting sqref="H54:I54">
    <cfRule type="cellIs" dxfId="176" priority="31" stopIfTrue="1" operator="lessThan">
      <formula>0</formula>
    </cfRule>
  </conditionalFormatting>
  <conditionalFormatting sqref="H70:I70">
    <cfRule type="cellIs" dxfId="175" priority="32" stopIfTrue="1" operator="lessThan">
      <formula>0</formula>
    </cfRule>
  </conditionalFormatting>
  <conditionalFormatting sqref="H80:I80">
    <cfRule type="cellIs" dxfId="174" priority="33" stopIfTrue="1" operator="lessThan">
      <formula>0</formula>
    </cfRule>
  </conditionalFormatting>
  <conditionalFormatting sqref="H100:I101">
    <cfRule type="cellIs" dxfId="173" priority="34" stopIfTrue="1" operator="lessThan">
      <formula>0</formula>
    </cfRule>
  </conditionalFormatting>
  <conditionalFormatting sqref="H134:I134">
    <cfRule type="cellIs" dxfId="172" priority="35" stopIfTrue="1" operator="lessThan">
      <formula>0</formula>
    </cfRule>
  </conditionalFormatting>
  <conditionalFormatting sqref="H156:I156">
    <cfRule type="cellIs" dxfId="171" priority="36" stopIfTrue="1" operator="lessThan">
      <formula>0</formula>
    </cfRule>
  </conditionalFormatting>
  <conditionalFormatting sqref="H230:I230 H255:I255">
    <cfRule type="cellIs" dxfId="170" priority="37" stopIfTrue="1" operator="lessThan">
      <formula>0</formula>
    </cfRule>
  </conditionalFormatting>
  <conditionalFormatting sqref="I175:I179">
    <cfRule type="cellIs" dxfId="169" priority="38" stopIfTrue="1" operator="lessThan">
      <formula>0</formula>
    </cfRule>
  </conditionalFormatting>
  <conditionalFormatting sqref="I200:I201">
    <cfRule type="cellIs" dxfId="168" priority="39" stopIfTrue="1" operator="lessThan">
      <formula>0</formula>
    </cfRule>
  </conditionalFormatting>
  <conditionalFormatting sqref="J19">
    <cfRule type="cellIs" dxfId="167" priority="3" stopIfTrue="1" operator="lessThan">
      <formula>0</formula>
    </cfRule>
  </conditionalFormatting>
  <conditionalFormatting sqref="J20:J22">
    <cfRule type="cellIs" dxfId="166" priority="2" stopIfTrue="1" operator="lessThan">
      <formula>0</formula>
    </cfRule>
  </conditionalFormatting>
  <conditionalFormatting sqref="H22">
    <cfRule type="cellIs" dxfId="165" priority="1" stopIfTrue="1" operator="lessThan">
      <formula>0</formula>
    </cfRule>
  </conditionalFormatting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135"/>
  <sheetViews>
    <sheetView zoomScale="62" zoomScaleNormal="62" workbookViewId="0">
      <pane xSplit="3" ySplit="6" topLeftCell="D13" activePane="bottomRight" state="frozen"/>
      <selection activeCell="E13" sqref="E13"/>
      <selection pane="topRight" activeCell="E13" sqref="E13"/>
      <selection pane="bottomLeft" activeCell="E13" sqref="E13"/>
      <selection pane="bottomRight" activeCell="C41" sqref="C41"/>
    </sheetView>
  </sheetViews>
  <sheetFormatPr defaultColWidth="14.42578125" defaultRowHeight="15" customHeight="1" x14ac:dyDescent="0.3"/>
  <cols>
    <col min="1" max="1" width="21.140625" style="137" customWidth="1"/>
    <col min="2" max="3" width="28.42578125" style="137" customWidth="1"/>
    <col min="4" max="4" width="62.42578125" style="137" customWidth="1"/>
    <col min="5" max="5" width="62.42578125" style="961" customWidth="1"/>
    <col min="6" max="6" width="45.42578125" style="137" customWidth="1"/>
    <col min="7" max="7" width="25.140625" style="137" hidden="1" customWidth="1"/>
    <col min="8" max="8" width="28.140625" style="137" hidden="1" customWidth="1"/>
    <col min="9" max="10" width="26.140625" style="137" hidden="1" customWidth="1"/>
    <col min="11" max="11" width="27.5703125" style="137" customWidth="1"/>
    <col min="12" max="12" width="25.140625" style="137" customWidth="1"/>
    <col min="13" max="13" width="20" style="137" customWidth="1"/>
    <col min="14" max="27" width="8.7109375" style="137" customWidth="1"/>
    <col min="28" max="16384" width="14.42578125" style="137"/>
  </cols>
  <sheetData>
    <row r="1" spans="1:12" ht="21" customHeight="1" x14ac:dyDescent="0.3">
      <c r="B1" s="1197" t="s">
        <v>876</v>
      </c>
      <c r="C1" s="1198"/>
      <c r="D1" s="1197" t="s">
        <v>336</v>
      </c>
      <c r="E1" s="1197"/>
      <c r="F1" s="1198"/>
      <c r="G1" s="158" t="s">
        <v>877</v>
      </c>
      <c r="H1" s="158" t="s">
        <v>878</v>
      </c>
      <c r="I1" s="158" t="s">
        <v>879</v>
      </c>
      <c r="J1" s="158" t="s">
        <v>880</v>
      </c>
      <c r="K1" s="158" t="s">
        <v>881</v>
      </c>
      <c r="L1" s="184"/>
    </row>
    <row r="2" spans="1:12" ht="21" customHeight="1" x14ac:dyDescent="0.3">
      <c r="A2" s="158">
        <v>600</v>
      </c>
      <c r="B2" s="158" t="str">
        <f>'ใบกัน 600'!E2</f>
        <v>ปรับปรุงระบบกล้องวงจรปิด</v>
      </c>
      <c r="C2" s="962" t="str">
        <f>'ใบกัน 600'!F2</f>
        <v>ปรับปรุงระบบตู้สาขาโทรศัพท์</v>
      </c>
      <c r="D2" s="962" t="str">
        <f>'ใบกัน 600'!G2</f>
        <v>จัดหาทดแทนระบบคลาวด์</v>
      </c>
      <c r="E2" s="962" t="str">
        <f>'ใบกัน 600'!H2</f>
        <v>ปรับปรุงเว็บไซต์</v>
      </c>
      <c r="F2" s="962" t="str">
        <f>'ใบกัน 600'!I2</f>
        <v>โครงการพัฒนาและปรับปรุงห้องปฏิบัติการ</v>
      </c>
      <c r="G2" s="158" t="s">
        <v>338</v>
      </c>
      <c r="H2" s="158"/>
      <c r="I2" s="158"/>
      <c r="J2" s="158" t="s">
        <v>339</v>
      </c>
      <c r="K2" s="1229" t="str">
        <f>'ใบกัน 600'!J2</f>
        <v>ค่าจ้างออกแบบโครงการปรับปรุงอาคารสำนักงานเศรษฐกิจ
การคลัง</v>
      </c>
      <c r="L2" s="158" t="s">
        <v>208</v>
      </c>
    </row>
    <row r="3" spans="1:12" s="961" customFormat="1" ht="18.75" x14ac:dyDescent="0.3">
      <c r="A3" s="960"/>
      <c r="B3" s="960"/>
      <c r="C3" s="960"/>
      <c r="D3" s="960"/>
      <c r="E3" s="960"/>
      <c r="F3" s="960"/>
      <c r="G3" s="960"/>
      <c r="H3" s="960"/>
      <c r="I3" s="960"/>
      <c r="J3" s="960"/>
      <c r="K3" s="1229"/>
      <c r="L3" s="960"/>
    </row>
    <row r="4" spans="1:12" ht="21" customHeight="1" x14ac:dyDescent="0.3">
      <c r="A4" s="145" t="s">
        <v>209</v>
      </c>
      <c r="B4" s="145">
        <v>0</v>
      </c>
      <c r="C4" s="145">
        <v>0</v>
      </c>
      <c r="D4" s="145"/>
      <c r="E4" s="145"/>
      <c r="F4" s="145"/>
      <c r="G4" s="145">
        <v>0</v>
      </c>
      <c r="H4" s="145">
        <v>0</v>
      </c>
      <c r="I4" s="145">
        <v>0</v>
      </c>
      <c r="J4" s="145">
        <v>0</v>
      </c>
      <c r="K4" s="145">
        <v>0</v>
      </c>
      <c r="L4" s="145">
        <f>SUM(B4:K4)</f>
        <v>0</v>
      </c>
    </row>
    <row r="5" spans="1:12" ht="21" customHeight="1" x14ac:dyDescent="0.3">
      <c r="A5" s="145" t="s">
        <v>210</v>
      </c>
      <c r="B5" s="145">
        <f>'ใบกัน 600'!E4</f>
        <v>2675000</v>
      </c>
      <c r="C5" s="145">
        <f>'ใบกัน 600'!F4</f>
        <v>2782000</v>
      </c>
      <c r="D5" s="145">
        <f>'ใบกัน 600'!G4</f>
        <v>69646000</v>
      </c>
      <c r="E5" s="145">
        <f>'ใบกัน 600'!H4</f>
        <v>6711000</v>
      </c>
      <c r="F5" s="145">
        <f>'ใบกัน 600'!I4</f>
        <v>5591600</v>
      </c>
      <c r="G5" s="145">
        <v>0</v>
      </c>
      <c r="H5" s="145">
        <v>0</v>
      </c>
      <c r="I5" s="145">
        <v>0</v>
      </c>
      <c r="J5" s="145">
        <v>0</v>
      </c>
      <c r="K5" s="145">
        <f>'ใบกัน 600'!J4</f>
        <v>11119200</v>
      </c>
      <c r="L5" s="145">
        <f>SUM(B5:K5)</f>
        <v>98524800</v>
      </c>
    </row>
    <row r="6" spans="1:12" ht="21" customHeight="1" x14ac:dyDescent="0.3">
      <c r="A6" s="299" t="s">
        <v>211</v>
      </c>
      <c r="B6" s="296" t="s">
        <v>53</v>
      </c>
      <c r="C6" s="296" t="s">
        <v>53</v>
      </c>
      <c r="D6" s="296"/>
      <c r="E6" s="296"/>
      <c r="F6" s="296"/>
      <c r="G6" s="296"/>
      <c r="H6" s="296"/>
      <c r="I6" s="296"/>
      <c r="J6" s="296"/>
      <c r="K6" s="296"/>
      <c r="L6" s="145"/>
    </row>
    <row r="7" spans="1:12" ht="21" customHeight="1" x14ac:dyDescent="0.3">
      <c r="A7" s="301" t="s">
        <v>212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</row>
    <row r="8" spans="1:12" ht="21" customHeight="1" x14ac:dyDescent="0.3">
      <c r="A8" s="301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95"/>
    </row>
    <row r="9" spans="1:12" ht="21" customHeight="1" x14ac:dyDescent="0.3">
      <c r="A9" s="301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95"/>
    </row>
    <row r="10" spans="1:12" ht="21" customHeight="1" x14ac:dyDescent="0.3">
      <c r="A10" s="301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95"/>
    </row>
    <row r="11" spans="1:12" ht="21" customHeight="1" x14ac:dyDescent="0.3">
      <c r="A11" s="301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95"/>
    </row>
    <row r="12" spans="1:12" ht="21" customHeight="1" x14ac:dyDescent="0.3">
      <c r="A12" s="301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95"/>
    </row>
    <row r="13" spans="1:12" ht="21" customHeight="1" x14ac:dyDescent="0.3">
      <c r="A13" s="301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95"/>
    </row>
    <row r="14" spans="1:12" ht="21" customHeight="1" x14ac:dyDescent="0.3">
      <c r="A14" s="264"/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95"/>
    </row>
    <row r="15" spans="1:12" ht="21" customHeight="1" x14ac:dyDescent="0.3">
      <c r="A15" s="279" t="s">
        <v>213</v>
      </c>
      <c r="B15" s="279">
        <f t="shared" ref="B15:K15" si="0">SUM(B7:B14)</f>
        <v>0</v>
      </c>
      <c r="C15" s="279">
        <f t="shared" si="0"/>
        <v>0</v>
      </c>
      <c r="D15" s="279">
        <f t="shared" si="0"/>
        <v>0</v>
      </c>
      <c r="E15" s="279">
        <f t="shared" ref="E15" si="1">SUM(E7:E14)</f>
        <v>0</v>
      </c>
      <c r="F15" s="279">
        <f t="shared" si="0"/>
        <v>0</v>
      </c>
      <c r="G15" s="279">
        <f t="shared" si="0"/>
        <v>0</v>
      </c>
      <c r="H15" s="279">
        <f t="shared" si="0"/>
        <v>0</v>
      </c>
      <c r="I15" s="279">
        <f t="shared" si="0"/>
        <v>0</v>
      </c>
      <c r="J15" s="279">
        <f t="shared" si="0"/>
        <v>0</v>
      </c>
      <c r="K15" s="279">
        <f t="shared" si="0"/>
        <v>0</v>
      </c>
      <c r="L15" s="279">
        <f>SUM(B15:K15)</f>
        <v>0</v>
      </c>
    </row>
    <row r="16" spans="1:12" ht="21" customHeight="1" x14ac:dyDescent="0.3">
      <c r="A16" s="279" t="s">
        <v>341</v>
      </c>
      <c r="B16" s="279">
        <f t="shared" ref="B16:K16" si="2">SUM(B4+B15)</f>
        <v>0</v>
      </c>
      <c r="C16" s="279">
        <f t="shared" si="2"/>
        <v>0</v>
      </c>
      <c r="D16" s="279">
        <f t="shared" si="2"/>
        <v>0</v>
      </c>
      <c r="E16" s="279">
        <f t="shared" ref="E16" si="3">SUM(E4+E15)</f>
        <v>0</v>
      </c>
      <c r="F16" s="279">
        <f t="shared" si="2"/>
        <v>0</v>
      </c>
      <c r="G16" s="279">
        <f t="shared" si="2"/>
        <v>0</v>
      </c>
      <c r="H16" s="279">
        <f t="shared" si="2"/>
        <v>0</v>
      </c>
      <c r="I16" s="279">
        <f t="shared" si="2"/>
        <v>0</v>
      </c>
      <c r="J16" s="279">
        <f t="shared" si="2"/>
        <v>0</v>
      </c>
      <c r="K16" s="279">
        <f t="shared" si="2"/>
        <v>0</v>
      </c>
      <c r="L16" s="279">
        <f>SUM(B16:K16)</f>
        <v>0</v>
      </c>
    </row>
    <row r="17" spans="1:12" ht="21" customHeight="1" x14ac:dyDescent="0.3">
      <c r="A17" s="279" t="s">
        <v>210</v>
      </c>
      <c r="B17" s="279">
        <f t="shared" ref="B17:K17" si="4">SUM(B5-B15)</f>
        <v>2675000</v>
      </c>
      <c r="C17" s="279">
        <f t="shared" si="4"/>
        <v>2782000</v>
      </c>
      <c r="D17" s="279">
        <f t="shared" si="4"/>
        <v>69646000</v>
      </c>
      <c r="E17" s="279">
        <f t="shared" ref="E17" si="5">SUM(E5-E15)</f>
        <v>6711000</v>
      </c>
      <c r="F17" s="279">
        <f t="shared" si="4"/>
        <v>5591600</v>
      </c>
      <c r="G17" s="279">
        <f t="shared" si="4"/>
        <v>0</v>
      </c>
      <c r="H17" s="279">
        <f t="shared" si="4"/>
        <v>0</v>
      </c>
      <c r="I17" s="279">
        <f t="shared" si="4"/>
        <v>0</v>
      </c>
      <c r="J17" s="279">
        <f t="shared" si="4"/>
        <v>0</v>
      </c>
      <c r="K17" s="279">
        <f t="shared" si="4"/>
        <v>11119200</v>
      </c>
      <c r="L17" s="279">
        <f>SUM(B17:K17)</f>
        <v>98524800</v>
      </c>
    </row>
    <row r="18" spans="1:12" ht="21" customHeight="1" x14ac:dyDescent="0.3">
      <c r="A18" s="301" t="s">
        <v>216</v>
      </c>
      <c r="B18" s="195"/>
      <c r="C18" s="195"/>
      <c r="D18" s="195"/>
      <c r="E18" s="195"/>
      <c r="F18" s="195"/>
      <c r="G18" s="195"/>
      <c r="H18" s="195"/>
      <c r="I18" s="195"/>
      <c r="J18" s="195"/>
      <c r="K18" s="195"/>
      <c r="L18" s="195"/>
    </row>
    <row r="19" spans="1:12" ht="21" customHeight="1" x14ac:dyDescent="0.3">
      <c r="A19" s="301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95"/>
    </row>
    <row r="20" spans="1:12" ht="21" customHeight="1" x14ac:dyDescent="0.3">
      <c r="A20" s="301"/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95"/>
    </row>
    <row r="21" spans="1:12" ht="21" customHeight="1" x14ac:dyDescent="0.3">
      <c r="A21" s="301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95"/>
    </row>
    <row r="22" spans="1:12" ht="21" customHeight="1" x14ac:dyDescent="0.3">
      <c r="A22" s="301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95"/>
    </row>
    <row r="23" spans="1:12" ht="21" customHeight="1" x14ac:dyDescent="0.3">
      <c r="A23" s="301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95"/>
    </row>
    <row r="24" spans="1:12" ht="21" customHeight="1" x14ac:dyDescent="0.3">
      <c r="A24" s="301"/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95"/>
    </row>
    <row r="25" spans="1:12" ht="21" customHeight="1" x14ac:dyDescent="0.3">
      <c r="A25" s="264"/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95"/>
    </row>
    <row r="26" spans="1:12" ht="21" customHeight="1" x14ac:dyDescent="0.3">
      <c r="A26" s="279" t="s">
        <v>217</v>
      </c>
      <c r="B26" s="279">
        <f t="shared" ref="B26:K26" si="6">SUM(B18:B25)</f>
        <v>0</v>
      </c>
      <c r="C26" s="279">
        <f t="shared" si="6"/>
        <v>0</v>
      </c>
      <c r="D26" s="279">
        <f t="shared" si="6"/>
        <v>0</v>
      </c>
      <c r="E26" s="279">
        <f t="shared" ref="E26" si="7">SUM(E18:E25)</f>
        <v>0</v>
      </c>
      <c r="F26" s="279">
        <f t="shared" si="6"/>
        <v>0</v>
      </c>
      <c r="G26" s="279">
        <f t="shared" si="6"/>
        <v>0</v>
      </c>
      <c r="H26" s="279">
        <f t="shared" si="6"/>
        <v>0</v>
      </c>
      <c r="I26" s="279">
        <f t="shared" si="6"/>
        <v>0</v>
      </c>
      <c r="J26" s="279">
        <f t="shared" si="6"/>
        <v>0</v>
      </c>
      <c r="K26" s="279">
        <f t="shared" si="6"/>
        <v>0</v>
      </c>
      <c r="L26" s="279">
        <f>SUM(B26:K26)</f>
        <v>0</v>
      </c>
    </row>
    <row r="27" spans="1:12" ht="21" customHeight="1" x14ac:dyDescent="0.3">
      <c r="A27" s="279" t="s">
        <v>218</v>
      </c>
      <c r="B27" s="279">
        <f t="shared" ref="B27:K27" si="8">SUM(B16+B26)</f>
        <v>0</v>
      </c>
      <c r="C27" s="279">
        <f t="shared" si="8"/>
        <v>0</v>
      </c>
      <c r="D27" s="279">
        <f t="shared" si="8"/>
        <v>0</v>
      </c>
      <c r="E27" s="279">
        <f t="shared" ref="E27" si="9">SUM(E16+E26)</f>
        <v>0</v>
      </c>
      <c r="F27" s="279">
        <f t="shared" si="8"/>
        <v>0</v>
      </c>
      <c r="G27" s="279">
        <f t="shared" si="8"/>
        <v>0</v>
      </c>
      <c r="H27" s="279">
        <f t="shared" si="8"/>
        <v>0</v>
      </c>
      <c r="I27" s="279">
        <f t="shared" si="8"/>
        <v>0</v>
      </c>
      <c r="J27" s="279">
        <f t="shared" si="8"/>
        <v>0</v>
      </c>
      <c r="K27" s="279">
        <f t="shared" si="8"/>
        <v>0</v>
      </c>
      <c r="L27" s="279">
        <f>SUM(B27:K27)</f>
        <v>0</v>
      </c>
    </row>
    <row r="28" spans="1:12" ht="21" customHeight="1" x14ac:dyDescent="0.3">
      <c r="A28" s="279" t="s">
        <v>219</v>
      </c>
      <c r="B28" s="279">
        <f t="shared" ref="B28:K28" si="10">SUM(B17-B26)</f>
        <v>2675000</v>
      </c>
      <c r="C28" s="279">
        <f t="shared" si="10"/>
        <v>2782000</v>
      </c>
      <c r="D28" s="279">
        <f t="shared" si="10"/>
        <v>69646000</v>
      </c>
      <c r="E28" s="279">
        <f t="shared" ref="E28" si="11">SUM(E17-E26)</f>
        <v>6711000</v>
      </c>
      <c r="F28" s="279">
        <f t="shared" si="10"/>
        <v>5591600</v>
      </c>
      <c r="G28" s="279">
        <f t="shared" si="10"/>
        <v>0</v>
      </c>
      <c r="H28" s="279">
        <f t="shared" si="10"/>
        <v>0</v>
      </c>
      <c r="I28" s="279">
        <f t="shared" si="10"/>
        <v>0</v>
      </c>
      <c r="J28" s="279">
        <f t="shared" si="10"/>
        <v>0</v>
      </c>
      <c r="K28" s="279">
        <f t="shared" si="10"/>
        <v>11119200</v>
      </c>
      <c r="L28" s="279">
        <f>SUM(B28:K28)</f>
        <v>98524800</v>
      </c>
    </row>
    <row r="29" spans="1:12" ht="21" customHeight="1" x14ac:dyDescent="0.3">
      <c r="A29" s="301" t="s">
        <v>220</v>
      </c>
      <c r="B29" s="195"/>
      <c r="C29" s="195"/>
      <c r="D29" s="195"/>
      <c r="E29" s="195"/>
      <c r="F29" s="195"/>
      <c r="G29" s="195"/>
      <c r="H29" s="195"/>
      <c r="I29" s="195"/>
      <c r="J29" s="195"/>
      <c r="K29" s="195"/>
      <c r="L29" s="195"/>
    </row>
    <row r="37" spans="1:12" ht="21" customHeight="1" x14ac:dyDescent="0.3">
      <c r="A37" s="279" t="s">
        <v>221</v>
      </c>
      <c r="B37" s="279">
        <f t="shared" ref="B37:K37" si="12">SUM(B29:B36)</f>
        <v>0</v>
      </c>
      <c r="C37" s="279">
        <f t="shared" si="12"/>
        <v>0</v>
      </c>
      <c r="D37" s="279">
        <f t="shared" si="12"/>
        <v>0</v>
      </c>
      <c r="E37" s="279">
        <f t="shared" ref="E37" si="13">SUM(E29:E36)</f>
        <v>0</v>
      </c>
      <c r="F37" s="279">
        <f t="shared" si="12"/>
        <v>0</v>
      </c>
      <c r="G37" s="279">
        <f t="shared" si="12"/>
        <v>0</v>
      </c>
      <c r="H37" s="279">
        <f t="shared" si="12"/>
        <v>0</v>
      </c>
      <c r="I37" s="279">
        <f t="shared" si="12"/>
        <v>0</v>
      </c>
      <c r="J37" s="279">
        <f t="shared" si="12"/>
        <v>0</v>
      </c>
      <c r="K37" s="279">
        <f t="shared" si="12"/>
        <v>0</v>
      </c>
      <c r="L37" s="279">
        <f>SUM(B37:K37)</f>
        <v>0</v>
      </c>
    </row>
    <row r="38" spans="1:12" ht="21" customHeight="1" x14ac:dyDescent="0.3">
      <c r="A38" s="279" t="s">
        <v>222</v>
      </c>
      <c r="B38" s="279">
        <f t="shared" ref="B38:K38" si="14">SUM(B27+B37)</f>
        <v>0</v>
      </c>
      <c r="C38" s="279">
        <f t="shared" si="14"/>
        <v>0</v>
      </c>
      <c r="D38" s="279">
        <f t="shared" si="14"/>
        <v>0</v>
      </c>
      <c r="E38" s="279">
        <f t="shared" ref="E38" si="15">SUM(E27+E37)</f>
        <v>0</v>
      </c>
      <c r="F38" s="279">
        <f t="shared" si="14"/>
        <v>0</v>
      </c>
      <c r="G38" s="279">
        <f t="shared" si="14"/>
        <v>0</v>
      </c>
      <c r="H38" s="279">
        <f t="shared" si="14"/>
        <v>0</v>
      </c>
      <c r="I38" s="279">
        <f t="shared" si="14"/>
        <v>0</v>
      </c>
      <c r="J38" s="279">
        <f t="shared" si="14"/>
        <v>0</v>
      </c>
      <c r="K38" s="279">
        <f t="shared" si="14"/>
        <v>0</v>
      </c>
      <c r="L38" s="279">
        <f>SUM(B38:K38)</f>
        <v>0</v>
      </c>
    </row>
    <row r="39" spans="1:12" ht="21" customHeight="1" x14ac:dyDescent="0.3">
      <c r="A39" s="279" t="s">
        <v>223</v>
      </c>
      <c r="B39" s="279">
        <f t="shared" ref="B39:K39" si="16">SUM(B28-B37)</f>
        <v>2675000</v>
      </c>
      <c r="C39" s="279">
        <f t="shared" si="16"/>
        <v>2782000</v>
      </c>
      <c r="D39" s="279">
        <f t="shared" si="16"/>
        <v>69646000</v>
      </c>
      <c r="E39" s="279">
        <f t="shared" ref="E39" si="17">SUM(E28-E37)</f>
        <v>6711000</v>
      </c>
      <c r="F39" s="279">
        <f t="shared" si="16"/>
        <v>5591600</v>
      </c>
      <c r="G39" s="279">
        <f t="shared" si="16"/>
        <v>0</v>
      </c>
      <c r="H39" s="279">
        <f t="shared" si="16"/>
        <v>0</v>
      </c>
      <c r="I39" s="279">
        <f t="shared" si="16"/>
        <v>0</v>
      </c>
      <c r="J39" s="279">
        <f t="shared" si="16"/>
        <v>0</v>
      </c>
      <c r="K39" s="279">
        <f t="shared" si="16"/>
        <v>11119200</v>
      </c>
      <c r="L39" s="279">
        <f>SUM(B39:K39)</f>
        <v>98524800</v>
      </c>
    </row>
    <row r="40" spans="1:12" ht="21" customHeight="1" x14ac:dyDescent="0.3">
      <c r="A40" s="301" t="s">
        <v>224</v>
      </c>
      <c r="B40" s="195"/>
      <c r="C40" s="195"/>
      <c r="D40" s="195"/>
      <c r="E40" s="195"/>
      <c r="F40" s="195"/>
      <c r="G40" s="195"/>
      <c r="H40" s="195"/>
      <c r="I40" s="195"/>
      <c r="J40" s="195"/>
      <c r="K40" s="195"/>
      <c r="L40" s="195"/>
    </row>
    <row r="41" spans="1:12" ht="21" customHeight="1" x14ac:dyDescent="0.3">
      <c r="A41" s="1176">
        <v>243993</v>
      </c>
      <c r="B41" s="670"/>
      <c r="C41" s="670"/>
      <c r="D41" s="670"/>
      <c r="E41" s="670"/>
      <c r="F41" s="670"/>
      <c r="G41" s="670"/>
      <c r="H41" s="670"/>
      <c r="I41" s="670"/>
      <c r="J41" s="670"/>
      <c r="K41" s="670"/>
      <c r="L41" s="1177"/>
    </row>
    <row r="42" spans="1:12" ht="21" customHeight="1" x14ac:dyDescent="0.3">
      <c r="A42" s="1176"/>
      <c r="B42" s="670"/>
      <c r="C42" s="670"/>
      <c r="D42" s="670"/>
      <c r="E42" s="670"/>
      <c r="F42" s="670"/>
      <c r="G42" s="670"/>
      <c r="H42" s="670"/>
      <c r="I42" s="670"/>
      <c r="J42" s="670"/>
      <c r="K42" s="670"/>
      <c r="L42" s="1177"/>
    </row>
    <row r="43" spans="1:12" ht="21" customHeight="1" x14ac:dyDescent="0.3">
      <c r="A43" s="1176"/>
      <c r="B43" s="670"/>
      <c r="C43" s="670"/>
      <c r="D43" s="670"/>
      <c r="E43" s="670"/>
      <c r="F43" s="670"/>
      <c r="G43" s="670"/>
      <c r="H43" s="670"/>
      <c r="I43" s="670"/>
      <c r="J43" s="670"/>
      <c r="K43" s="670"/>
      <c r="L43" s="1177"/>
    </row>
    <row r="44" spans="1:12" ht="21" customHeight="1" x14ac:dyDescent="0.3">
      <c r="A44" s="1176"/>
      <c r="B44" s="670"/>
      <c r="C44" s="670"/>
      <c r="D44" s="670"/>
      <c r="E44" s="670"/>
      <c r="F44" s="670"/>
      <c r="G44" s="670"/>
      <c r="H44" s="670"/>
      <c r="I44" s="670"/>
      <c r="J44" s="670"/>
      <c r="K44" s="670"/>
      <c r="L44" s="1177"/>
    </row>
    <row r="45" spans="1:12" ht="21" customHeight="1" x14ac:dyDescent="0.3">
      <c r="A45" s="1176"/>
      <c r="B45" s="670"/>
      <c r="C45" s="670"/>
      <c r="D45" s="670"/>
      <c r="E45" s="670"/>
      <c r="F45" s="670"/>
      <c r="G45" s="670"/>
      <c r="H45" s="670"/>
      <c r="I45" s="670"/>
      <c r="J45" s="670"/>
      <c r="K45" s="670"/>
      <c r="L45" s="1177"/>
    </row>
    <row r="46" spans="1:12" ht="21" customHeight="1" x14ac:dyDescent="0.3">
      <c r="A46" s="1176"/>
      <c r="B46" s="670"/>
      <c r="C46" s="670"/>
      <c r="D46" s="670"/>
      <c r="E46" s="670"/>
      <c r="F46" s="670"/>
      <c r="G46" s="670"/>
      <c r="H46" s="670"/>
      <c r="I46" s="670"/>
      <c r="J46" s="670"/>
      <c r="K46" s="670"/>
      <c r="L46" s="1177"/>
    </row>
    <row r="47" spans="1:12" ht="21" customHeight="1" x14ac:dyDescent="0.3">
      <c r="A47" s="264"/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95"/>
    </row>
    <row r="48" spans="1:12" ht="21" customHeight="1" x14ac:dyDescent="0.3">
      <c r="A48" s="279" t="s">
        <v>225</v>
      </c>
      <c r="B48" s="279">
        <f t="shared" ref="B48:K48" si="18">SUM(B40:B47)</f>
        <v>0</v>
      </c>
      <c r="C48" s="279">
        <f t="shared" si="18"/>
        <v>0</v>
      </c>
      <c r="D48" s="279">
        <f t="shared" si="18"/>
        <v>0</v>
      </c>
      <c r="E48" s="279">
        <f t="shared" ref="E48" si="19">SUM(E40:E47)</f>
        <v>0</v>
      </c>
      <c r="F48" s="279">
        <f t="shared" si="18"/>
        <v>0</v>
      </c>
      <c r="G48" s="279">
        <f t="shared" si="18"/>
        <v>0</v>
      </c>
      <c r="H48" s="279">
        <f t="shared" si="18"/>
        <v>0</v>
      </c>
      <c r="I48" s="279">
        <f t="shared" si="18"/>
        <v>0</v>
      </c>
      <c r="J48" s="279">
        <f t="shared" si="18"/>
        <v>0</v>
      </c>
      <c r="K48" s="279">
        <f t="shared" si="18"/>
        <v>0</v>
      </c>
      <c r="L48" s="279">
        <f>SUM(B48:K48)</f>
        <v>0</v>
      </c>
    </row>
    <row r="49" spans="1:12" ht="21" customHeight="1" x14ac:dyDescent="0.3">
      <c r="A49" s="279" t="s">
        <v>226</v>
      </c>
      <c r="B49" s="279">
        <f t="shared" ref="B49:K49" si="20">SUM(B38+B48)</f>
        <v>0</v>
      </c>
      <c r="C49" s="279">
        <f t="shared" si="20"/>
        <v>0</v>
      </c>
      <c r="D49" s="279">
        <f t="shared" si="20"/>
        <v>0</v>
      </c>
      <c r="E49" s="279">
        <f t="shared" ref="E49" si="21">SUM(E38+E48)</f>
        <v>0</v>
      </c>
      <c r="F49" s="279">
        <f t="shared" si="20"/>
        <v>0</v>
      </c>
      <c r="G49" s="279">
        <f t="shared" si="20"/>
        <v>0</v>
      </c>
      <c r="H49" s="279">
        <f t="shared" si="20"/>
        <v>0</v>
      </c>
      <c r="I49" s="279">
        <f t="shared" si="20"/>
        <v>0</v>
      </c>
      <c r="J49" s="279">
        <f t="shared" si="20"/>
        <v>0</v>
      </c>
      <c r="K49" s="279">
        <f t="shared" si="20"/>
        <v>0</v>
      </c>
      <c r="L49" s="279">
        <f>SUM(B49:K49)</f>
        <v>0</v>
      </c>
    </row>
    <row r="50" spans="1:12" ht="21" customHeight="1" x14ac:dyDescent="0.3">
      <c r="A50" s="279" t="s">
        <v>227</v>
      </c>
      <c r="B50" s="279">
        <f t="shared" ref="B50:K50" si="22">SUM(B39-B48)</f>
        <v>2675000</v>
      </c>
      <c r="C50" s="279">
        <f t="shared" si="22"/>
        <v>2782000</v>
      </c>
      <c r="D50" s="279">
        <f t="shared" si="22"/>
        <v>69646000</v>
      </c>
      <c r="E50" s="279">
        <f t="shared" ref="E50" si="23">SUM(E39-E48)</f>
        <v>6711000</v>
      </c>
      <c r="F50" s="279">
        <f t="shared" si="22"/>
        <v>5591600</v>
      </c>
      <c r="G50" s="279">
        <f t="shared" si="22"/>
        <v>0</v>
      </c>
      <c r="H50" s="279">
        <f t="shared" si="22"/>
        <v>0</v>
      </c>
      <c r="I50" s="279">
        <f t="shared" si="22"/>
        <v>0</v>
      </c>
      <c r="J50" s="279">
        <f t="shared" si="22"/>
        <v>0</v>
      </c>
      <c r="K50" s="279">
        <f t="shared" si="22"/>
        <v>11119200</v>
      </c>
      <c r="L50" s="279">
        <f>SUM(B50:K50)</f>
        <v>98524800</v>
      </c>
    </row>
    <row r="51" spans="1:12" ht="21" customHeight="1" x14ac:dyDescent="0.3">
      <c r="A51" s="301" t="s">
        <v>228</v>
      </c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</row>
    <row r="52" spans="1:12" ht="21" customHeight="1" x14ac:dyDescent="0.3">
      <c r="A52" s="301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95"/>
    </row>
    <row r="53" spans="1:12" ht="21" customHeight="1" x14ac:dyDescent="0.3">
      <c r="A53" s="301"/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95"/>
    </row>
    <row r="54" spans="1:12" ht="21" customHeight="1" x14ac:dyDescent="0.3">
      <c r="A54" s="301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95"/>
    </row>
    <row r="55" spans="1:12" ht="21" customHeight="1" x14ac:dyDescent="0.3">
      <c r="A55" s="301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95"/>
    </row>
    <row r="56" spans="1:12" ht="21" customHeight="1" x14ac:dyDescent="0.3">
      <c r="A56" s="301"/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95"/>
    </row>
    <row r="57" spans="1:12" ht="21" customHeight="1" x14ac:dyDescent="0.3">
      <c r="A57" s="301"/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95"/>
    </row>
    <row r="58" spans="1:12" ht="21" customHeight="1" x14ac:dyDescent="0.3">
      <c r="A58" s="264"/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95"/>
    </row>
    <row r="59" spans="1:12" ht="21" customHeight="1" x14ac:dyDescent="0.3">
      <c r="A59" s="279" t="s">
        <v>229</v>
      </c>
      <c r="B59" s="279">
        <f t="shared" ref="B59:K59" si="24">SUM(B51:B58)</f>
        <v>0</v>
      </c>
      <c r="C59" s="279">
        <f t="shared" si="24"/>
        <v>0</v>
      </c>
      <c r="D59" s="279">
        <f t="shared" si="24"/>
        <v>0</v>
      </c>
      <c r="E59" s="279">
        <f t="shared" ref="E59" si="25">SUM(E51:E58)</f>
        <v>0</v>
      </c>
      <c r="F59" s="279">
        <f t="shared" si="24"/>
        <v>0</v>
      </c>
      <c r="G59" s="279">
        <f t="shared" si="24"/>
        <v>0</v>
      </c>
      <c r="H59" s="279">
        <f t="shared" si="24"/>
        <v>0</v>
      </c>
      <c r="I59" s="279">
        <f t="shared" si="24"/>
        <v>0</v>
      </c>
      <c r="J59" s="279">
        <f t="shared" si="24"/>
        <v>0</v>
      </c>
      <c r="K59" s="279">
        <f t="shared" si="24"/>
        <v>0</v>
      </c>
      <c r="L59" s="279">
        <f>SUM(B59:K59)</f>
        <v>0</v>
      </c>
    </row>
    <row r="60" spans="1:12" ht="21" customHeight="1" x14ac:dyDescent="0.3">
      <c r="A60" s="279" t="s">
        <v>230</v>
      </c>
      <c r="B60" s="279">
        <f t="shared" ref="B60:K60" si="26">SUM(B49+B59)</f>
        <v>0</v>
      </c>
      <c r="C60" s="279">
        <f t="shared" si="26"/>
        <v>0</v>
      </c>
      <c r="D60" s="279">
        <f t="shared" si="26"/>
        <v>0</v>
      </c>
      <c r="E60" s="279">
        <f t="shared" ref="E60" si="27">SUM(E49+E59)</f>
        <v>0</v>
      </c>
      <c r="F60" s="279">
        <f t="shared" si="26"/>
        <v>0</v>
      </c>
      <c r="G60" s="279">
        <f t="shared" si="26"/>
        <v>0</v>
      </c>
      <c r="H60" s="279">
        <f t="shared" si="26"/>
        <v>0</v>
      </c>
      <c r="I60" s="279">
        <f t="shared" si="26"/>
        <v>0</v>
      </c>
      <c r="J60" s="279">
        <f t="shared" si="26"/>
        <v>0</v>
      </c>
      <c r="K60" s="279">
        <f t="shared" si="26"/>
        <v>0</v>
      </c>
      <c r="L60" s="279">
        <f>SUM(B60:K60)</f>
        <v>0</v>
      </c>
    </row>
    <row r="61" spans="1:12" ht="21" customHeight="1" x14ac:dyDescent="0.3">
      <c r="A61" s="279" t="s">
        <v>231</v>
      </c>
      <c r="B61" s="279">
        <f t="shared" ref="B61:K61" si="28">SUM(B50-B59)</f>
        <v>2675000</v>
      </c>
      <c r="C61" s="279">
        <f t="shared" si="28"/>
        <v>2782000</v>
      </c>
      <c r="D61" s="279">
        <f t="shared" si="28"/>
        <v>69646000</v>
      </c>
      <c r="E61" s="279">
        <f t="shared" ref="E61" si="29">SUM(E50-E59)</f>
        <v>6711000</v>
      </c>
      <c r="F61" s="279">
        <f t="shared" si="28"/>
        <v>5591600</v>
      </c>
      <c r="G61" s="279">
        <f t="shared" si="28"/>
        <v>0</v>
      </c>
      <c r="H61" s="279">
        <f t="shared" si="28"/>
        <v>0</v>
      </c>
      <c r="I61" s="279">
        <f t="shared" si="28"/>
        <v>0</v>
      </c>
      <c r="J61" s="279">
        <f t="shared" si="28"/>
        <v>0</v>
      </c>
      <c r="K61" s="279">
        <f t="shared" si="28"/>
        <v>11119200</v>
      </c>
      <c r="L61" s="279">
        <f>SUM(B61:K61)</f>
        <v>98524800</v>
      </c>
    </row>
    <row r="62" spans="1:12" ht="21" customHeight="1" x14ac:dyDescent="0.3">
      <c r="A62" s="301" t="s">
        <v>232</v>
      </c>
      <c r="B62" s="195"/>
      <c r="C62" s="195"/>
      <c r="D62" s="195"/>
      <c r="E62" s="195"/>
      <c r="F62" s="195"/>
      <c r="G62" s="195"/>
      <c r="H62" s="195"/>
      <c r="I62" s="195"/>
      <c r="J62" s="195"/>
      <c r="K62" s="195"/>
      <c r="L62" s="195"/>
    </row>
    <row r="70" spans="1:12" ht="21" customHeight="1" x14ac:dyDescent="0.3">
      <c r="A70" s="279" t="s">
        <v>233</v>
      </c>
      <c r="B70" s="279">
        <f t="shared" ref="B70:K70" si="30">SUM(B62:B69)</f>
        <v>0</v>
      </c>
      <c r="C70" s="279">
        <f t="shared" si="30"/>
        <v>0</v>
      </c>
      <c r="D70" s="279">
        <f t="shared" si="30"/>
        <v>0</v>
      </c>
      <c r="E70" s="279">
        <f t="shared" ref="E70" si="31">SUM(E62:E69)</f>
        <v>0</v>
      </c>
      <c r="F70" s="279">
        <f t="shared" si="30"/>
        <v>0</v>
      </c>
      <c r="G70" s="279">
        <f t="shared" si="30"/>
        <v>0</v>
      </c>
      <c r="H70" s="279">
        <f t="shared" si="30"/>
        <v>0</v>
      </c>
      <c r="I70" s="279">
        <f t="shared" si="30"/>
        <v>0</v>
      </c>
      <c r="J70" s="279">
        <f t="shared" si="30"/>
        <v>0</v>
      </c>
      <c r="K70" s="279">
        <f t="shared" si="30"/>
        <v>0</v>
      </c>
      <c r="L70" s="279">
        <f>SUM(B70:K70)</f>
        <v>0</v>
      </c>
    </row>
    <row r="71" spans="1:12" ht="21" customHeight="1" x14ac:dyDescent="0.3">
      <c r="A71" s="279" t="s">
        <v>234</v>
      </c>
      <c r="B71" s="279">
        <f t="shared" ref="B71:K71" si="32">SUM(B60+B70)</f>
        <v>0</v>
      </c>
      <c r="C71" s="279">
        <f t="shared" si="32"/>
        <v>0</v>
      </c>
      <c r="D71" s="279">
        <f t="shared" si="32"/>
        <v>0</v>
      </c>
      <c r="E71" s="279">
        <f t="shared" ref="E71" si="33">SUM(E60+E70)</f>
        <v>0</v>
      </c>
      <c r="F71" s="279">
        <f t="shared" si="32"/>
        <v>0</v>
      </c>
      <c r="G71" s="279">
        <f t="shared" si="32"/>
        <v>0</v>
      </c>
      <c r="H71" s="279">
        <f t="shared" si="32"/>
        <v>0</v>
      </c>
      <c r="I71" s="279">
        <f t="shared" si="32"/>
        <v>0</v>
      </c>
      <c r="J71" s="279">
        <f t="shared" si="32"/>
        <v>0</v>
      </c>
      <c r="K71" s="279">
        <f t="shared" si="32"/>
        <v>0</v>
      </c>
      <c r="L71" s="279">
        <f>SUM(B71:K71)</f>
        <v>0</v>
      </c>
    </row>
    <row r="72" spans="1:12" ht="21" customHeight="1" x14ac:dyDescent="0.3">
      <c r="A72" s="279" t="s">
        <v>235</v>
      </c>
      <c r="B72" s="279">
        <f t="shared" ref="B72:K72" si="34">SUM(B61-B70)</f>
        <v>2675000</v>
      </c>
      <c r="C72" s="279">
        <f t="shared" si="34"/>
        <v>2782000</v>
      </c>
      <c r="D72" s="279">
        <f t="shared" si="34"/>
        <v>69646000</v>
      </c>
      <c r="E72" s="279">
        <f t="shared" ref="E72" si="35">SUM(E61-E70)</f>
        <v>6711000</v>
      </c>
      <c r="F72" s="279">
        <f t="shared" si="34"/>
        <v>5591600</v>
      </c>
      <c r="G72" s="279">
        <f t="shared" si="34"/>
        <v>0</v>
      </c>
      <c r="H72" s="279">
        <f t="shared" si="34"/>
        <v>0</v>
      </c>
      <c r="I72" s="279">
        <f t="shared" si="34"/>
        <v>0</v>
      </c>
      <c r="J72" s="279">
        <f t="shared" si="34"/>
        <v>0</v>
      </c>
      <c r="K72" s="279">
        <f t="shared" si="34"/>
        <v>11119200</v>
      </c>
      <c r="L72" s="279">
        <f>SUM(B72:K72)</f>
        <v>98524800</v>
      </c>
    </row>
    <row r="73" spans="1:12" ht="21" customHeight="1" x14ac:dyDescent="0.3">
      <c r="A73" s="301" t="s">
        <v>236</v>
      </c>
      <c r="B73" s="195"/>
      <c r="C73" s="195"/>
      <c r="D73" s="195"/>
      <c r="E73" s="195"/>
      <c r="F73" s="195"/>
      <c r="G73" s="195"/>
      <c r="H73" s="195"/>
      <c r="I73" s="195"/>
      <c r="J73" s="195"/>
      <c r="K73" s="195"/>
      <c r="L73" s="195"/>
    </row>
    <row r="81" spans="1:13" ht="21" customHeight="1" x14ac:dyDescent="0.3">
      <c r="A81" s="279" t="s">
        <v>237</v>
      </c>
      <c r="B81" s="279">
        <f t="shared" ref="B81:K81" si="36">SUM(B73:B80)</f>
        <v>0</v>
      </c>
      <c r="C81" s="279">
        <f t="shared" si="36"/>
        <v>0</v>
      </c>
      <c r="D81" s="279">
        <f t="shared" si="36"/>
        <v>0</v>
      </c>
      <c r="E81" s="279">
        <f t="shared" ref="E81" si="37">SUM(E73:E80)</f>
        <v>0</v>
      </c>
      <c r="F81" s="279">
        <f t="shared" si="36"/>
        <v>0</v>
      </c>
      <c r="G81" s="279">
        <f t="shared" si="36"/>
        <v>0</v>
      </c>
      <c r="H81" s="279">
        <f t="shared" si="36"/>
        <v>0</v>
      </c>
      <c r="I81" s="279">
        <f t="shared" si="36"/>
        <v>0</v>
      </c>
      <c r="J81" s="279">
        <f t="shared" si="36"/>
        <v>0</v>
      </c>
      <c r="K81" s="279">
        <f t="shared" si="36"/>
        <v>0</v>
      </c>
      <c r="L81" s="279">
        <f>SUM(B81:K81)</f>
        <v>0</v>
      </c>
      <c r="M81" s="265"/>
    </row>
    <row r="82" spans="1:13" ht="21" customHeight="1" x14ac:dyDescent="0.3">
      <c r="A82" s="279" t="s">
        <v>238</v>
      </c>
      <c r="B82" s="279">
        <f t="shared" ref="B82:K82" si="38">SUM(B71+B81)</f>
        <v>0</v>
      </c>
      <c r="C82" s="279">
        <f t="shared" si="38"/>
        <v>0</v>
      </c>
      <c r="D82" s="279">
        <f t="shared" si="38"/>
        <v>0</v>
      </c>
      <c r="E82" s="279">
        <f t="shared" ref="E82" si="39">SUM(E71+E81)</f>
        <v>0</v>
      </c>
      <c r="F82" s="279">
        <f t="shared" si="38"/>
        <v>0</v>
      </c>
      <c r="G82" s="279">
        <f t="shared" si="38"/>
        <v>0</v>
      </c>
      <c r="H82" s="279">
        <f t="shared" si="38"/>
        <v>0</v>
      </c>
      <c r="I82" s="279">
        <f t="shared" si="38"/>
        <v>0</v>
      </c>
      <c r="J82" s="279">
        <f t="shared" si="38"/>
        <v>0</v>
      </c>
      <c r="K82" s="279">
        <f t="shared" si="38"/>
        <v>0</v>
      </c>
      <c r="L82" s="279">
        <f>SUM(B82:K82)</f>
        <v>0</v>
      </c>
      <c r="M82" s="265"/>
    </row>
    <row r="83" spans="1:13" ht="21" customHeight="1" x14ac:dyDescent="0.3">
      <c r="A83" s="279" t="s">
        <v>239</v>
      </c>
      <c r="B83" s="279">
        <f t="shared" ref="B83:K83" si="40">SUM(B72-B81)</f>
        <v>2675000</v>
      </c>
      <c r="C83" s="279">
        <f t="shared" si="40"/>
        <v>2782000</v>
      </c>
      <c r="D83" s="279">
        <f t="shared" si="40"/>
        <v>69646000</v>
      </c>
      <c r="E83" s="279">
        <f t="shared" si="40"/>
        <v>6711000</v>
      </c>
      <c r="F83" s="279">
        <f t="shared" si="40"/>
        <v>5591600</v>
      </c>
      <c r="G83" s="279">
        <f t="shared" si="40"/>
        <v>0</v>
      </c>
      <c r="H83" s="279">
        <f t="shared" si="40"/>
        <v>0</v>
      </c>
      <c r="I83" s="279">
        <f t="shared" si="40"/>
        <v>0</v>
      </c>
      <c r="J83" s="279">
        <f t="shared" si="40"/>
        <v>0</v>
      </c>
      <c r="K83" s="279">
        <f t="shared" si="40"/>
        <v>11119200</v>
      </c>
      <c r="L83" s="279">
        <f>SUM(B83:K83)</f>
        <v>98524800</v>
      </c>
      <c r="M83" s="265"/>
    </row>
    <row r="84" spans="1:13" ht="21" customHeight="1" x14ac:dyDescent="0.3">
      <c r="A84" s="301" t="s">
        <v>240</v>
      </c>
      <c r="B84" s="195"/>
      <c r="C84" s="195"/>
      <c r="D84" s="195"/>
      <c r="E84" s="195"/>
      <c r="F84" s="195"/>
      <c r="G84" s="195"/>
      <c r="H84" s="195"/>
      <c r="I84" s="195"/>
      <c r="J84" s="195"/>
      <c r="K84" s="195"/>
      <c r="L84" s="195"/>
      <c r="M84" s="264"/>
    </row>
    <row r="85" spans="1:13" ht="21" customHeight="1" x14ac:dyDescent="0.3">
      <c r="A85" s="302">
        <v>45442</v>
      </c>
      <c r="B85" s="975"/>
      <c r="C85" s="975"/>
      <c r="D85" s="975"/>
      <c r="E85" s="975"/>
      <c r="F85" s="975"/>
      <c r="G85" s="975"/>
      <c r="H85" s="975"/>
      <c r="I85" s="975"/>
      <c r="J85" s="975"/>
      <c r="K85" s="975"/>
      <c r="L85" s="195"/>
      <c r="M85" s="303" t="s">
        <v>882</v>
      </c>
    </row>
    <row r="86" spans="1:13" ht="21" customHeight="1" x14ac:dyDescent="0.3">
      <c r="A86" s="302">
        <v>45442</v>
      </c>
      <c r="B86" s="975"/>
      <c r="C86" s="975"/>
      <c r="D86" s="975"/>
      <c r="E86" s="975"/>
      <c r="F86" s="975"/>
      <c r="G86" s="975"/>
      <c r="H86" s="975"/>
      <c r="I86" s="975"/>
      <c r="J86" s="975"/>
      <c r="K86" s="976"/>
      <c r="L86" s="195"/>
      <c r="M86" s="303" t="s">
        <v>883</v>
      </c>
    </row>
    <row r="87" spans="1:13" ht="21" customHeight="1" x14ac:dyDescent="0.3">
      <c r="A87" s="301"/>
      <c r="B87" s="136"/>
      <c r="C87" s="136"/>
      <c r="D87" s="136"/>
      <c r="E87" s="136"/>
      <c r="F87" s="136"/>
      <c r="G87" s="136"/>
      <c r="H87" s="136"/>
      <c r="I87" s="136"/>
      <c r="J87" s="136"/>
      <c r="K87" s="136"/>
      <c r="L87" s="195"/>
      <c r="M87" s="300"/>
    </row>
    <row r="88" spans="1:13" ht="21" customHeight="1" x14ac:dyDescent="0.3">
      <c r="A88" s="264"/>
      <c r="B88" s="136"/>
      <c r="C88" s="136"/>
      <c r="D88" s="136"/>
      <c r="E88" s="136"/>
      <c r="F88" s="136"/>
      <c r="G88" s="136"/>
      <c r="H88" s="136"/>
      <c r="I88" s="136"/>
      <c r="J88" s="136"/>
      <c r="K88" s="136"/>
      <c r="L88" s="195"/>
      <c r="M88" s="300"/>
    </row>
    <row r="89" spans="1:13" ht="21" customHeight="1" x14ac:dyDescent="0.3">
      <c r="A89" s="279" t="s">
        <v>241</v>
      </c>
      <c r="B89" s="279">
        <f t="shared" ref="B89:K89" si="41">SUM(B84:B88)</f>
        <v>0</v>
      </c>
      <c r="C89" s="279">
        <f t="shared" si="41"/>
        <v>0</v>
      </c>
      <c r="D89" s="279">
        <f t="shared" si="41"/>
        <v>0</v>
      </c>
      <c r="E89" s="279">
        <f t="shared" ref="E89" si="42">SUM(E84:E88)</f>
        <v>0</v>
      </c>
      <c r="F89" s="279">
        <f t="shared" si="41"/>
        <v>0</v>
      </c>
      <c r="G89" s="279">
        <f t="shared" si="41"/>
        <v>0</v>
      </c>
      <c r="H89" s="279">
        <f t="shared" si="41"/>
        <v>0</v>
      </c>
      <c r="I89" s="279">
        <f t="shared" si="41"/>
        <v>0</v>
      </c>
      <c r="J89" s="279">
        <f t="shared" si="41"/>
        <v>0</v>
      </c>
      <c r="K89" s="279">
        <f t="shared" si="41"/>
        <v>0</v>
      </c>
      <c r="L89" s="279">
        <f>SUM(B89:K89)</f>
        <v>0</v>
      </c>
      <c r="M89" s="265"/>
    </row>
    <row r="90" spans="1:13" ht="21" customHeight="1" x14ac:dyDescent="0.3">
      <c r="A90" s="279" t="s">
        <v>242</v>
      </c>
      <c r="B90" s="279">
        <f t="shared" ref="B90:K90" si="43">SUM(B82+B89)</f>
        <v>0</v>
      </c>
      <c r="C90" s="279">
        <f t="shared" si="43"/>
        <v>0</v>
      </c>
      <c r="D90" s="279">
        <f t="shared" si="43"/>
        <v>0</v>
      </c>
      <c r="E90" s="279">
        <f t="shared" ref="E90" si="44">SUM(E82+E89)</f>
        <v>0</v>
      </c>
      <c r="F90" s="279">
        <f t="shared" si="43"/>
        <v>0</v>
      </c>
      <c r="G90" s="279">
        <f t="shared" si="43"/>
        <v>0</v>
      </c>
      <c r="H90" s="279">
        <f t="shared" si="43"/>
        <v>0</v>
      </c>
      <c r="I90" s="279">
        <f t="shared" si="43"/>
        <v>0</v>
      </c>
      <c r="J90" s="279">
        <f t="shared" si="43"/>
        <v>0</v>
      </c>
      <c r="K90" s="279">
        <f t="shared" si="43"/>
        <v>0</v>
      </c>
      <c r="L90" s="279">
        <f>SUM(B90:K90)</f>
        <v>0</v>
      </c>
      <c r="M90" s="265"/>
    </row>
    <row r="91" spans="1:13" ht="21" customHeight="1" x14ac:dyDescent="0.3">
      <c r="A91" s="279" t="s">
        <v>243</v>
      </c>
      <c r="B91" s="279">
        <f>SUM(B83-B89)+32200</f>
        <v>2707200</v>
      </c>
      <c r="C91" s="279">
        <f t="shared" ref="C91:K91" si="45">SUM(C83-C89)</f>
        <v>2782000</v>
      </c>
      <c r="D91" s="279">
        <f t="shared" si="45"/>
        <v>69646000</v>
      </c>
      <c r="E91" s="279">
        <f t="shared" ref="E91" si="46">SUM(E83-E89)</f>
        <v>6711000</v>
      </c>
      <c r="F91" s="279">
        <f t="shared" si="45"/>
        <v>5591600</v>
      </c>
      <c r="G91" s="279">
        <f t="shared" si="45"/>
        <v>0</v>
      </c>
      <c r="H91" s="279">
        <f t="shared" si="45"/>
        <v>0</v>
      </c>
      <c r="I91" s="279">
        <f t="shared" si="45"/>
        <v>0</v>
      </c>
      <c r="J91" s="279">
        <f t="shared" si="45"/>
        <v>0</v>
      </c>
      <c r="K91" s="279">
        <f t="shared" si="45"/>
        <v>11119200</v>
      </c>
      <c r="L91" s="279">
        <f>SUM(B91:K91)</f>
        <v>98557000</v>
      </c>
      <c r="M91" s="265"/>
    </row>
    <row r="92" spans="1:13" ht="21" customHeight="1" x14ac:dyDescent="0.3">
      <c r="A92" s="301" t="s">
        <v>244</v>
      </c>
      <c r="B92" s="195"/>
      <c r="C92" s="195"/>
      <c r="D92" s="195"/>
      <c r="E92" s="195"/>
      <c r="F92" s="195"/>
      <c r="G92" s="195"/>
      <c r="H92" s="195"/>
      <c r="I92" s="195"/>
      <c r="J92" s="195"/>
      <c r="K92" s="195"/>
      <c r="L92" s="195"/>
      <c r="M92" s="264"/>
    </row>
    <row r="100" spans="1:13" ht="21" customHeight="1" x14ac:dyDescent="0.3">
      <c r="A100" s="279" t="s">
        <v>245</v>
      </c>
      <c r="B100" s="279">
        <f t="shared" ref="B100:K100" si="47">SUM(B92:B99)</f>
        <v>0</v>
      </c>
      <c r="C100" s="279">
        <f t="shared" si="47"/>
        <v>0</v>
      </c>
      <c r="D100" s="279">
        <f t="shared" si="47"/>
        <v>0</v>
      </c>
      <c r="E100" s="279">
        <f t="shared" ref="E100" si="48">SUM(E92:E99)</f>
        <v>0</v>
      </c>
      <c r="F100" s="279">
        <f t="shared" si="47"/>
        <v>0</v>
      </c>
      <c r="G100" s="279">
        <f t="shared" si="47"/>
        <v>0</v>
      </c>
      <c r="H100" s="279">
        <f t="shared" si="47"/>
        <v>0</v>
      </c>
      <c r="I100" s="279">
        <f t="shared" si="47"/>
        <v>0</v>
      </c>
      <c r="J100" s="279">
        <f t="shared" si="47"/>
        <v>0</v>
      </c>
      <c r="K100" s="279">
        <f t="shared" si="47"/>
        <v>0</v>
      </c>
      <c r="L100" s="279">
        <f>SUM(B100:K100)</f>
        <v>0</v>
      </c>
      <c r="M100" s="265"/>
    </row>
    <row r="101" spans="1:13" ht="21" customHeight="1" x14ac:dyDescent="0.3">
      <c r="A101" s="279" t="s">
        <v>246</v>
      </c>
      <c r="B101" s="279">
        <f t="shared" ref="B101:K101" si="49">SUM(B90+B100)</f>
        <v>0</v>
      </c>
      <c r="C101" s="279">
        <f t="shared" si="49"/>
        <v>0</v>
      </c>
      <c r="D101" s="279">
        <f t="shared" si="49"/>
        <v>0</v>
      </c>
      <c r="E101" s="279">
        <f t="shared" ref="E101" si="50">SUM(E90+E100)</f>
        <v>0</v>
      </c>
      <c r="F101" s="279">
        <f t="shared" si="49"/>
        <v>0</v>
      </c>
      <c r="G101" s="279">
        <f t="shared" si="49"/>
        <v>0</v>
      </c>
      <c r="H101" s="279">
        <f t="shared" si="49"/>
        <v>0</v>
      </c>
      <c r="I101" s="279">
        <f t="shared" si="49"/>
        <v>0</v>
      </c>
      <c r="J101" s="279">
        <f t="shared" si="49"/>
        <v>0</v>
      </c>
      <c r="K101" s="279">
        <f t="shared" si="49"/>
        <v>0</v>
      </c>
      <c r="L101" s="279">
        <f>SUM(B101:K101)</f>
        <v>0</v>
      </c>
      <c r="M101" s="265"/>
    </row>
    <row r="102" spans="1:13" ht="21" customHeight="1" x14ac:dyDescent="0.3">
      <c r="A102" s="279" t="s">
        <v>247</v>
      </c>
      <c r="B102" s="279">
        <f t="shared" ref="B102:K102" si="51">SUM(B91-B100)</f>
        <v>2707200</v>
      </c>
      <c r="C102" s="279">
        <f t="shared" si="51"/>
        <v>2782000</v>
      </c>
      <c r="D102" s="279">
        <f t="shared" si="51"/>
        <v>69646000</v>
      </c>
      <c r="E102" s="279">
        <f t="shared" ref="E102" si="52">SUM(E91-E100)</f>
        <v>6711000</v>
      </c>
      <c r="F102" s="279">
        <f t="shared" si="51"/>
        <v>5591600</v>
      </c>
      <c r="G102" s="279">
        <f t="shared" si="51"/>
        <v>0</v>
      </c>
      <c r="H102" s="279">
        <f t="shared" si="51"/>
        <v>0</v>
      </c>
      <c r="I102" s="279">
        <f t="shared" si="51"/>
        <v>0</v>
      </c>
      <c r="J102" s="279">
        <f t="shared" si="51"/>
        <v>0</v>
      </c>
      <c r="K102" s="279">
        <f t="shared" si="51"/>
        <v>11119200</v>
      </c>
      <c r="L102" s="279">
        <f>SUM(B102:K102)</f>
        <v>98557000</v>
      </c>
      <c r="M102" s="265"/>
    </row>
    <row r="103" spans="1:13" ht="21" customHeight="1" x14ac:dyDescent="0.3">
      <c r="A103" s="301" t="s">
        <v>248</v>
      </c>
      <c r="B103" s="195"/>
      <c r="C103" s="195"/>
      <c r="D103" s="195"/>
      <c r="E103" s="195"/>
      <c r="F103" s="195"/>
      <c r="G103" s="195"/>
      <c r="H103" s="195"/>
      <c r="I103" s="195"/>
      <c r="J103" s="195"/>
      <c r="K103" s="195"/>
      <c r="L103" s="195"/>
      <c r="M103" s="264"/>
    </row>
    <row r="104" spans="1:13" ht="21" customHeight="1" x14ac:dyDescent="0.3">
      <c r="A104" s="301"/>
      <c r="B104" s="136"/>
      <c r="C104" s="136"/>
      <c r="D104" s="136"/>
      <c r="E104" s="136"/>
      <c r="F104" s="136"/>
      <c r="G104" s="136"/>
      <c r="H104" s="136"/>
      <c r="I104" s="136"/>
      <c r="J104" s="136"/>
      <c r="K104" s="136"/>
      <c r="L104" s="195"/>
      <c r="M104" s="300"/>
    </row>
    <row r="105" spans="1:13" ht="21" customHeight="1" x14ac:dyDescent="0.3">
      <c r="A105" s="301"/>
      <c r="B105" s="136"/>
      <c r="C105" s="136"/>
      <c r="D105" s="136"/>
      <c r="E105" s="136"/>
      <c r="F105" s="136"/>
      <c r="G105" s="136"/>
      <c r="H105" s="136"/>
      <c r="I105" s="136"/>
      <c r="J105" s="136"/>
      <c r="K105" s="136"/>
      <c r="L105" s="195"/>
      <c r="M105" s="300"/>
    </row>
    <row r="106" spans="1:13" ht="21" customHeight="1" x14ac:dyDescent="0.3">
      <c r="A106" s="301"/>
      <c r="B106" s="136"/>
      <c r="C106" s="136"/>
      <c r="D106" s="136"/>
      <c r="E106" s="136"/>
      <c r="F106" s="136"/>
      <c r="G106" s="136"/>
      <c r="H106" s="136"/>
      <c r="I106" s="136"/>
      <c r="J106" s="136"/>
      <c r="K106" s="136"/>
      <c r="L106" s="195"/>
      <c r="M106" s="300"/>
    </row>
    <row r="107" spans="1:13" ht="21" customHeight="1" x14ac:dyDescent="0.3">
      <c r="A107" s="301"/>
      <c r="B107" s="136"/>
      <c r="C107" s="136"/>
      <c r="D107" s="136"/>
      <c r="E107" s="136"/>
      <c r="F107" s="136"/>
      <c r="G107" s="136"/>
      <c r="H107" s="136"/>
      <c r="I107" s="136"/>
      <c r="J107" s="136"/>
      <c r="K107" s="136"/>
      <c r="L107" s="195"/>
      <c r="M107" s="300"/>
    </row>
    <row r="108" spans="1:13" ht="21" customHeight="1" x14ac:dyDescent="0.3">
      <c r="A108" s="301"/>
      <c r="B108" s="136"/>
      <c r="C108" s="136"/>
      <c r="D108" s="136"/>
      <c r="E108" s="136"/>
      <c r="F108" s="136"/>
      <c r="G108" s="136"/>
      <c r="H108" s="136"/>
      <c r="I108" s="136"/>
      <c r="J108" s="136"/>
      <c r="K108" s="136"/>
      <c r="L108" s="195"/>
      <c r="M108" s="300"/>
    </row>
    <row r="109" spans="1:13" ht="21" customHeight="1" x14ac:dyDescent="0.3">
      <c r="A109" s="301"/>
      <c r="B109" s="136"/>
      <c r="C109" s="136"/>
      <c r="D109" s="136"/>
      <c r="E109" s="136"/>
      <c r="F109" s="136"/>
      <c r="G109" s="136"/>
      <c r="H109" s="136"/>
      <c r="I109" s="136"/>
      <c r="J109" s="136"/>
      <c r="K109" s="136"/>
      <c r="L109" s="195"/>
      <c r="M109" s="300"/>
    </row>
    <row r="110" spans="1:13" ht="21" customHeight="1" x14ac:dyDescent="0.3">
      <c r="A110" s="264"/>
      <c r="B110" s="136"/>
      <c r="C110" s="136"/>
      <c r="D110" s="136"/>
      <c r="E110" s="136"/>
      <c r="F110" s="136"/>
      <c r="G110" s="136"/>
      <c r="H110" s="136"/>
      <c r="I110" s="136"/>
      <c r="J110" s="136"/>
      <c r="K110" s="136"/>
      <c r="L110" s="195"/>
      <c r="M110" s="300"/>
    </row>
    <row r="111" spans="1:13" ht="21" customHeight="1" x14ac:dyDescent="0.3">
      <c r="A111" s="279" t="s">
        <v>249</v>
      </c>
      <c r="B111" s="279">
        <f t="shared" ref="B111:K111" si="53">SUM(B103:B110)</f>
        <v>0</v>
      </c>
      <c r="C111" s="279">
        <f t="shared" si="53"/>
        <v>0</v>
      </c>
      <c r="D111" s="279">
        <f t="shared" si="53"/>
        <v>0</v>
      </c>
      <c r="E111" s="279">
        <f t="shared" ref="E111" si="54">SUM(E103:E110)</f>
        <v>0</v>
      </c>
      <c r="F111" s="279">
        <f t="shared" si="53"/>
        <v>0</v>
      </c>
      <c r="G111" s="279">
        <f t="shared" si="53"/>
        <v>0</v>
      </c>
      <c r="H111" s="279">
        <f t="shared" si="53"/>
        <v>0</v>
      </c>
      <c r="I111" s="279">
        <f t="shared" si="53"/>
        <v>0</v>
      </c>
      <c r="J111" s="279">
        <f t="shared" si="53"/>
        <v>0</v>
      </c>
      <c r="K111" s="279">
        <f t="shared" si="53"/>
        <v>0</v>
      </c>
      <c r="L111" s="279">
        <f>SUM(B111:K111)</f>
        <v>0</v>
      </c>
      <c r="M111" s="265"/>
    </row>
    <row r="112" spans="1:13" ht="21" customHeight="1" x14ac:dyDescent="0.3">
      <c r="A112" s="279" t="s">
        <v>250</v>
      </c>
      <c r="B112" s="279">
        <f t="shared" ref="B112:K112" si="55">SUM(B101+B111)</f>
        <v>0</v>
      </c>
      <c r="C112" s="279">
        <f t="shared" si="55"/>
        <v>0</v>
      </c>
      <c r="D112" s="279">
        <f t="shared" si="55"/>
        <v>0</v>
      </c>
      <c r="E112" s="279">
        <f t="shared" ref="E112" si="56">SUM(E101+E111)</f>
        <v>0</v>
      </c>
      <c r="F112" s="279">
        <f t="shared" si="55"/>
        <v>0</v>
      </c>
      <c r="G112" s="279">
        <f t="shared" si="55"/>
        <v>0</v>
      </c>
      <c r="H112" s="279">
        <f t="shared" si="55"/>
        <v>0</v>
      </c>
      <c r="I112" s="279">
        <f t="shared" si="55"/>
        <v>0</v>
      </c>
      <c r="J112" s="279">
        <f t="shared" si="55"/>
        <v>0</v>
      </c>
      <c r="K112" s="279">
        <f t="shared" si="55"/>
        <v>0</v>
      </c>
      <c r="L112" s="279">
        <f>SUM(B112:K112)</f>
        <v>0</v>
      </c>
      <c r="M112" s="265"/>
    </row>
    <row r="113" spans="1:13" ht="21" customHeight="1" x14ac:dyDescent="0.3">
      <c r="A113" s="279" t="s">
        <v>251</v>
      </c>
      <c r="B113" s="279">
        <f t="shared" ref="B113:K113" si="57">SUM(B102-B111)</f>
        <v>2707200</v>
      </c>
      <c r="C113" s="279">
        <f t="shared" si="57"/>
        <v>2782000</v>
      </c>
      <c r="D113" s="279">
        <f t="shared" si="57"/>
        <v>69646000</v>
      </c>
      <c r="E113" s="279">
        <f t="shared" ref="E113" si="58">SUM(E102-E111)</f>
        <v>6711000</v>
      </c>
      <c r="F113" s="279">
        <f t="shared" si="57"/>
        <v>5591600</v>
      </c>
      <c r="G113" s="279">
        <f t="shared" si="57"/>
        <v>0</v>
      </c>
      <c r="H113" s="279">
        <f t="shared" si="57"/>
        <v>0</v>
      </c>
      <c r="I113" s="279">
        <f t="shared" si="57"/>
        <v>0</v>
      </c>
      <c r="J113" s="279">
        <f t="shared" si="57"/>
        <v>0</v>
      </c>
      <c r="K113" s="279">
        <f t="shared" si="57"/>
        <v>11119200</v>
      </c>
      <c r="L113" s="279">
        <f>SUM(B113:K113)</f>
        <v>98557000</v>
      </c>
      <c r="M113" s="265"/>
    </row>
    <row r="114" spans="1:13" ht="21" customHeight="1" x14ac:dyDescent="0.3">
      <c r="A114" s="301" t="s">
        <v>252</v>
      </c>
      <c r="B114" s="195"/>
      <c r="C114" s="195"/>
      <c r="D114" s="195"/>
      <c r="E114" s="195"/>
      <c r="F114" s="195"/>
      <c r="G114" s="195"/>
      <c r="H114" s="195"/>
      <c r="I114" s="195"/>
      <c r="J114" s="195"/>
      <c r="K114" s="195"/>
      <c r="L114" s="195"/>
      <c r="M114" s="264"/>
    </row>
    <row r="115" spans="1:13" ht="21" customHeight="1" x14ac:dyDescent="0.3">
      <c r="A115" s="305">
        <v>45505</v>
      </c>
      <c r="B115" s="136"/>
      <c r="C115" s="136"/>
      <c r="D115" s="136"/>
      <c r="E115" s="136"/>
      <c r="F115" s="136"/>
      <c r="G115" s="136"/>
      <c r="H115" s="136"/>
      <c r="I115" s="136"/>
      <c r="J115" s="136"/>
      <c r="K115" s="136"/>
      <c r="L115" s="294">
        <f>SUM(B115:K115)</f>
        <v>0</v>
      </c>
      <c r="M115" s="306" t="s">
        <v>884</v>
      </c>
    </row>
    <row r="116" spans="1:13" ht="21" customHeight="1" x14ac:dyDescent="0.3">
      <c r="A116" s="305">
        <v>45517</v>
      </c>
      <c r="B116" s="136"/>
      <c r="C116" s="136"/>
      <c r="D116" s="136"/>
      <c r="E116" s="136"/>
      <c r="F116" s="136"/>
      <c r="G116" s="136"/>
      <c r="H116" s="136"/>
      <c r="I116" s="136"/>
      <c r="J116" s="136"/>
      <c r="K116" s="136"/>
      <c r="L116" s="294">
        <f>SUM(B116:K116)</f>
        <v>0</v>
      </c>
      <c r="M116" s="306" t="s">
        <v>885</v>
      </c>
    </row>
    <row r="117" spans="1:13" ht="21" customHeight="1" x14ac:dyDescent="0.3">
      <c r="A117" s="305">
        <v>45519</v>
      </c>
      <c r="B117" s="136"/>
      <c r="C117" s="136"/>
      <c r="D117" s="136"/>
      <c r="E117" s="136"/>
      <c r="F117" s="136"/>
      <c r="G117" s="136"/>
      <c r="H117" s="136"/>
      <c r="I117" s="136"/>
      <c r="J117" s="136"/>
      <c r="K117" s="136"/>
      <c r="L117" s="294">
        <f>SUM(B117:K117)</f>
        <v>0</v>
      </c>
      <c r="M117" s="306" t="s">
        <v>886</v>
      </c>
    </row>
    <row r="118" spans="1:13" ht="21" customHeight="1" x14ac:dyDescent="0.3">
      <c r="A118" s="305">
        <v>45519</v>
      </c>
      <c r="B118" s="136"/>
      <c r="C118" s="136"/>
      <c r="D118" s="136"/>
      <c r="E118" s="136"/>
      <c r="F118" s="136"/>
      <c r="G118" s="136"/>
      <c r="H118" s="136"/>
      <c r="I118" s="136"/>
      <c r="J118" s="136"/>
      <c r="K118" s="136"/>
      <c r="L118" s="294">
        <f>SUM(B118:K118)</f>
        <v>0</v>
      </c>
      <c r="M118" s="306" t="s">
        <v>887</v>
      </c>
    </row>
    <row r="119" spans="1:13" ht="21" customHeight="1" x14ac:dyDescent="0.3">
      <c r="A119" s="305">
        <v>45524</v>
      </c>
      <c r="B119" s="136"/>
      <c r="C119" s="136"/>
      <c r="D119" s="136"/>
      <c r="E119" s="136"/>
      <c r="F119" s="136"/>
      <c r="G119" s="136"/>
      <c r="H119" s="136"/>
      <c r="I119" s="136"/>
      <c r="J119" s="136"/>
      <c r="K119" s="136"/>
      <c r="L119" s="294">
        <f>SUM(B119:K119)</f>
        <v>0</v>
      </c>
      <c r="M119" s="306" t="s">
        <v>888</v>
      </c>
    </row>
    <row r="120" spans="1:13" ht="21" customHeight="1" x14ac:dyDescent="0.3">
      <c r="A120" s="301"/>
      <c r="B120" s="136"/>
      <c r="C120" s="136"/>
      <c r="D120" s="136"/>
      <c r="E120" s="136"/>
      <c r="F120" s="136"/>
      <c r="G120" s="136"/>
      <c r="H120" s="136"/>
      <c r="I120" s="136"/>
      <c r="J120" s="136"/>
      <c r="K120" s="136"/>
      <c r="L120" s="195"/>
      <c r="M120" s="300"/>
    </row>
    <row r="121" spans="1:13" ht="21" customHeight="1" x14ac:dyDescent="0.3">
      <c r="A121" s="264"/>
      <c r="B121" s="136"/>
      <c r="C121" s="136"/>
      <c r="D121" s="136"/>
      <c r="E121" s="136"/>
      <c r="F121" s="136"/>
      <c r="G121" s="136"/>
      <c r="H121" s="136"/>
      <c r="I121" s="136"/>
      <c r="J121" s="136"/>
      <c r="K121" s="136"/>
      <c r="L121" s="195"/>
      <c r="M121" s="300"/>
    </row>
    <row r="122" spans="1:13" ht="21" customHeight="1" x14ac:dyDescent="0.3">
      <c r="A122" s="279" t="s">
        <v>253</v>
      </c>
      <c r="B122" s="279">
        <f t="shared" ref="B122:K122" si="59">SUM(B114:B121)</f>
        <v>0</v>
      </c>
      <c r="C122" s="279">
        <f t="shared" si="59"/>
        <v>0</v>
      </c>
      <c r="D122" s="279">
        <f t="shared" si="59"/>
        <v>0</v>
      </c>
      <c r="E122" s="279">
        <f t="shared" ref="E122" si="60">SUM(E114:E121)</f>
        <v>0</v>
      </c>
      <c r="F122" s="279">
        <f t="shared" si="59"/>
        <v>0</v>
      </c>
      <c r="G122" s="279">
        <f t="shared" si="59"/>
        <v>0</v>
      </c>
      <c r="H122" s="279">
        <f t="shared" si="59"/>
        <v>0</v>
      </c>
      <c r="I122" s="279">
        <f t="shared" si="59"/>
        <v>0</v>
      </c>
      <c r="J122" s="279">
        <f t="shared" si="59"/>
        <v>0</v>
      </c>
      <c r="K122" s="279">
        <f t="shared" si="59"/>
        <v>0</v>
      </c>
      <c r="L122" s="279">
        <f>SUM(B122:K122)</f>
        <v>0</v>
      </c>
      <c r="M122" s="265"/>
    </row>
    <row r="123" spans="1:13" ht="21" customHeight="1" x14ac:dyDescent="0.3">
      <c r="A123" s="279" t="s">
        <v>254</v>
      </c>
      <c r="B123" s="279">
        <f t="shared" ref="B123:K123" si="61">SUM(B112+B122)</f>
        <v>0</v>
      </c>
      <c r="C123" s="279">
        <f t="shared" si="61"/>
        <v>0</v>
      </c>
      <c r="D123" s="279">
        <f t="shared" si="61"/>
        <v>0</v>
      </c>
      <c r="E123" s="279">
        <f t="shared" ref="E123" si="62">SUM(E112+E122)</f>
        <v>0</v>
      </c>
      <c r="F123" s="279">
        <f t="shared" si="61"/>
        <v>0</v>
      </c>
      <c r="G123" s="279">
        <f t="shared" si="61"/>
        <v>0</v>
      </c>
      <c r="H123" s="279">
        <f t="shared" si="61"/>
        <v>0</v>
      </c>
      <c r="I123" s="279">
        <f t="shared" si="61"/>
        <v>0</v>
      </c>
      <c r="J123" s="279">
        <f t="shared" si="61"/>
        <v>0</v>
      </c>
      <c r="K123" s="279">
        <f t="shared" si="61"/>
        <v>0</v>
      </c>
      <c r="L123" s="279">
        <f>SUM(B123:K123)</f>
        <v>0</v>
      </c>
      <c r="M123" s="265"/>
    </row>
    <row r="124" spans="1:13" ht="21" customHeight="1" x14ac:dyDescent="0.3">
      <c r="A124" s="279" t="s">
        <v>255</v>
      </c>
      <c r="B124" s="279">
        <f t="shared" ref="B124:K124" si="63">SUM(B113-B122)</f>
        <v>2707200</v>
      </c>
      <c r="C124" s="279">
        <f t="shared" si="63"/>
        <v>2782000</v>
      </c>
      <c r="D124" s="279">
        <f t="shared" si="63"/>
        <v>69646000</v>
      </c>
      <c r="E124" s="279">
        <f t="shared" ref="E124" si="64">SUM(E113-E122)</f>
        <v>6711000</v>
      </c>
      <c r="F124" s="279">
        <f t="shared" si="63"/>
        <v>5591600</v>
      </c>
      <c r="G124" s="279">
        <f t="shared" si="63"/>
        <v>0</v>
      </c>
      <c r="H124" s="279">
        <f t="shared" si="63"/>
        <v>0</v>
      </c>
      <c r="I124" s="279">
        <f t="shared" si="63"/>
        <v>0</v>
      </c>
      <c r="J124" s="279">
        <f t="shared" si="63"/>
        <v>0</v>
      </c>
      <c r="K124" s="279">
        <f t="shared" si="63"/>
        <v>11119200</v>
      </c>
      <c r="L124" s="279">
        <f>SUM(B124:K124)</f>
        <v>98557000</v>
      </c>
      <c r="M124" s="265"/>
    </row>
    <row r="125" spans="1:13" ht="21" customHeight="1" x14ac:dyDescent="0.3">
      <c r="A125" s="301" t="s">
        <v>256</v>
      </c>
      <c r="B125" s="195"/>
      <c r="C125" s="195"/>
      <c r="D125" s="195"/>
      <c r="E125" s="195"/>
      <c r="F125" s="195"/>
      <c r="G125" s="195"/>
      <c r="H125" s="195"/>
      <c r="I125" s="195"/>
      <c r="J125" s="195"/>
      <c r="K125" s="195"/>
      <c r="L125" s="195"/>
      <c r="M125" s="264"/>
    </row>
    <row r="126" spans="1:13" ht="21" customHeight="1" x14ac:dyDescent="0.3">
      <c r="A126" s="278"/>
      <c r="B126" s="136"/>
      <c r="C126" s="136"/>
      <c r="D126" s="136"/>
      <c r="E126" s="136"/>
      <c r="F126" s="136"/>
      <c r="G126" s="136"/>
      <c r="H126" s="136"/>
      <c r="I126" s="136"/>
      <c r="J126" s="136"/>
      <c r="K126" s="136"/>
      <c r="L126" s="662">
        <f t="shared" ref="L126:L131" si="65">SUM(B126:K126)</f>
        <v>0</v>
      </c>
      <c r="M126" s="137" t="s">
        <v>1023</v>
      </c>
    </row>
    <row r="127" spans="1:13" ht="21" customHeight="1" x14ac:dyDescent="0.3">
      <c r="A127" s="278"/>
      <c r="B127" s="136"/>
      <c r="C127" s="136"/>
      <c r="D127" s="136"/>
      <c r="E127" s="136"/>
      <c r="F127" s="136"/>
      <c r="G127" s="136"/>
      <c r="H127" s="136"/>
      <c r="I127" s="136"/>
      <c r="J127" s="136"/>
      <c r="K127" s="136"/>
      <c r="L127" s="662">
        <f t="shared" si="65"/>
        <v>0</v>
      </c>
      <c r="M127" s="137" t="s">
        <v>1035</v>
      </c>
    </row>
    <row r="128" spans="1:13" ht="21" customHeight="1" x14ac:dyDescent="0.3">
      <c r="A128" s="278"/>
      <c r="B128" s="136"/>
      <c r="C128" s="136"/>
      <c r="D128" s="136"/>
      <c r="E128" s="136"/>
      <c r="F128" s="136"/>
      <c r="G128" s="136"/>
      <c r="H128" s="136"/>
      <c r="I128" s="136"/>
      <c r="J128" s="136"/>
      <c r="K128" s="136"/>
      <c r="L128" s="662">
        <f t="shared" si="65"/>
        <v>0</v>
      </c>
      <c r="M128" s="137" t="s">
        <v>1036</v>
      </c>
    </row>
    <row r="129" spans="1:13" ht="21" customHeight="1" x14ac:dyDescent="0.3">
      <c r="A129" s="301"/>
      <c r="B129" s="136"/>
      <c r="C129" s="136"/>
      <c r="D129" s="136"/>
      <c r="E129" s="136"/>
      <c r="F129" s="136"/>
      <c r="G129" s="136"/>
      <c r="H129" s="136"/>
      <c r="I129" s="136"/>
      <c r="J129" s="136"/>
      <c r="K129" s="136"/>
      <c r="L129" s="662">
        <f t="shared" si="65"/>
        <v>0</v>
      </c>
      <c r="M129" s="300"/>
    </row>
    <row r="130" spans="1:13" ht="21" customHeight="1" x14ac:dyDescent="0.3">
      <c r="A130" s="301"/>
      <c r="B130" s="136"/>
      <c r="C130" s="136"/>
      <c r="D130" s="136"/>
      <c r="E130" s="136"/>
      <c r="F130" s="136"/>
      <c r="G130" s="136"/>
      <c r="H130" s="136"/>
      <c r="I130" s="136"/>
      <c r="J130" s="136"/>
      <c r="K130" s="136"/>
      <c r="L130" s="662">
        <f t="shared" si="65"/>
        <v>0</v>
      </c>
      <c r="M130" s="300"/>
    </row>
    <row r="131" spans="1:13" ht="21" customHeight="1" x14ac:dyDescent="0.3">
      <c r="A131" s="301"/>
      <c r="B131" s="136"/>
      <c r="C131" s="136"/>
      <c r="D131" s="136"/>
      <c r="E131" s="136"/>
      <c r="F131" s="136"/>
      <c r="G131" s="136"/>
      <c r="H131" s="136"/>
      <c r="I131" s="136"/>
      <c r="J131" s="136"/>
      <c r="K131" s="136"/>
      <c r="L131" s="662">
        <f t="shared" si="65"/>
        <v>0</v>
      </c>
      <c r="M131" s="300"/>
    </row>
    <row r="132" spans="1:13" ht="21" customHeight="1" x14ac:dyDescent="0.3">
      <c r="A132" s="264"/>
      <c r="B132" s="136"/>
      <c r="C132" s="136"/>
      <c r="D132" s="136"/>
      <c r="E132" s="136"/>
      <c r="F132" s="136"/>
      <c r="G132" s="136"/>
      <c r="H132" s="136"/>
      <c r="I132" s="136"/>
      <c r="J132" s="136"/>
      <c r="K132" s="136"/>
      <c r="L132" s="195"/>
      <c r="M132" s="300"/>
    </row>
    <row r="133" spans="1:13" ht="21" customHeight="1" x14ac:dyDescent="0.3">
      <c r="A133" s="279" t="s">
        <v>257</v>
      </c>
      <c r="B133" s="279">
        <f t="shared" ref="B133:K133" si="66">SUM(B125:B132)</f>
        <v>0</v>
      </c>
      <c r="C133" s="279">
        <f t="shared" si="66"/>
        <v>0</v>
      </c>
      <c r="D133" s="279">
        <f t="shared" si="66"/>
        <v>0</v>
      </c>
      <c r="E133" s="279">
        <f t="shared" ref="E133" si="67">SUM(E125:E132)</f>
        <v>0</v>
      </c>
      <c r="F133" s="279">
        <f t="shared" si="66"/>
        <v>0</v>
      </c>
      <c r="G133" s="279">
        <f t="shared" si="66"/>
        <v>0</v>
      </c>
      <c r="H133" s="279">
        <f t="shared" si="66"/>
        <v>0</v>
      </c>
      <c r="I133" s="279">
        <f t="shared" si="66"/>
        <v>0</v>
      </c>
      <c r="J133" s="279">
        <f t="shared" si="66"/>
        <v>0</v>
      </c>
      <c r="K133" s="279">
        <f t="shared" si="66"/>
        <v>0</v>
      </c>
      <c r="L133" s="279">
        <f>SUM(B133:K133)</f>
        <v>0</v>
      </c>
      <c r="M133" s="265"/>
    </row>
    <row r="134" spans="1:13" ht="21" customHeight="1" x14ac:dyDescent="0.3">
      <c r="A134" s="279" t="s">
        <v>258</v>
      </c>
      <c r="B134" s="279">
        <f t="shared" ref="B134:K134" si="68">SUM(B123+B133)</f>
        <v>0</v>
      </c>
      <c r="C134" s="279">
        <f t="shared" si="68"/>
        <v>0</v>
      </c>
      <c r="D134" s="279">
        <f t="shared" si="68"/>
        <v>0</v>
      </c>
      <c r="E134" s="279">
        <f t="shared" ref="E134" si="69">SUM(E123+E133)</f>
        <v>0</v>
      </c>
      <c r="F134" s="279">
        <f t="shared" si="68"/>
        <v>0</v>
      </c>
      <c r="G134" s="279">
        <f t="shared" si="68"/>
        <v>0</v>
      </c>
      <c r="H134" s="279">
        <f t="shared" si="68"/>
        <v>0</v>
      </c>
      <c r="I134" s="279">
        <f t="shared" si="68"/>
        <v>0</v>
      </c>
      <c r="J134" s="279">
        <f t="shared" si="68"/>
        <v>0</v>
      </c>
      <c r="K134" s="279">
        <f t="shared" si="68"/>
        <v>0</v>
      </c>
      <c r="L134" s="279">
        <f>SUM(B134:K134)</f>
        <v>0</v>
      </c>
      <c r="M134" s="265"/>
    </row>
    <row r="135" spans="1:13" ht="21" customHeight="1" x14ac:dyDescent="0.3">
      <c r="A135" s="279" t="s">
        <v>259</v>
      </c>
      <c r="B135" s="279">
        <f t="shared" ref="B135:K135" si="70">SUM(B124-B133)</f>
        <v>2707200</v>
      </c>
      <c r="C135" s="279">
        <f t="shared" si="70"/>
        <v>2782000</v>
      </c>
      <c r="D135" s="279">
        <f t="shared" si="70"/>
        <v>69646000</v>
      </c>
      <c r="E135" s="279">
        <f t="shared" ref="E135" si="71">SUM(E124-E133)</f>
        <v>6711000</v>
      </c>
      <c r="F135" s="279">
        <f t="shared" si="70"/>
        <v>5591600</v>
      </c>
      <c r="G135" s="279">
        <f t="shared" si="70"/>
        <v>0</v>
      </c>
      <c r="H135" s="279">
        <f t="shared" si="70"/>
        <v>0</v>
      </c>
      <c r="I135" s="279">
        <f t="shared" si="70"/>
        <v>0</v>
      </c>
      <c r="J135" s="279">
        <f t="shared" si="70"/>
        <v>0</v>
      </c>
      <c r="K135" s="279">
        <f t="shared" si="70"/>
        <v>11119200</v>
      </c>
      <c r="L135" s="279">
        <f>SUM(B135:K135)</f>
        <v>98557000</v>
      </c>
      <c r="M135" s="265"/>
    </row>
  </sheetData>
  <mergeCells count="3">
    <mergeCell ref="B1:C1"/>
    <mergeCell ref="D1:F1"/>
    <mergeCell ref="K2:K3"/>
  </mergeCells>
  <conditionalFormatting sqref="A126:B126 J1:J14">
    <cfRule type="cellIs" dxfId="164" priority="2" stopIfTrue="1" operator="lessThan">
      <formula>0</formula>
    </cfRule>
  </conditionalFormatting>
  <conditionalFormatting sqref="A92:D121 I103:K110 L103:M135 N111:AA113 I114:K121 N122:AA124 I125:K132 N133:AA135 F92:F121">
    <cfRule type="cellIs" dxfId="163" priority="3" stopIfTrue="1" operator="lessThan">
      <formula>0</formula>
    </cfRule>
  </conditionalFormatting>
  <conditionalFormatting sqref="C4">
    <cfRule type="cellIs" dxfId="162" priority="4" stopIfTrue="1" operator="lessThan">
      <formula>0</formula>
    </cfRule>
  </conditionalFormatting>
  <conditionalFormatting sqref="G4:G5">
    <cfRule type="cellIs" dxfId="161" priority="5" stopIfTrue="1" operator="lessThan">
      <formula>0</formula>
    </cfRule>
  </conditionalFormatting>
  <conditionalFormatting sqref="I18:J25">
    <cfRule type="cellIs" dxfId="160" priority="6" stopIfTrue="1" operator="lessThan">
      <formula>0</formula>
    </cfRule>
  </conditionalFormatting>
  <conditionalFormatting sqref="I29:J36">
    <cfRule type="cellIs" dxfId="159" priority="7" stopIfTrue="1" operator="lessThan">
      <formula>0</formula>
    </cfRule>
  </conditionalFormatting>
  <conditionalFormatting sqref="I40:J47">
    <cfRule type="cellIs" dxfId="158" priority="8" stopIfTrue="1" operator="lessThan">
      <formula>0</formula>
    </cfRule>
  </conditionalFormatting>
  <conditionalFormatting sqref="I51:J58">
    <cfRule type="cellIs" dxfId="157" priority="9" stopIfTrue="1" operator="lessThan">
      <formula>0</formula>
    </cfRule>
  </conditionalFormatting>
  <conditionalFormatting sqref="I62:J69">
    <cfRule type="cellIs" dxfId="156" priority="10" stopIfTrue="1" operator="lessThan">
      <formula>0</formula>
    </cfRule>
  </conditionalFormatting>
  <conditionalFormatting sqref="I73:J80">
    <cfRule type="cellIs" dxfId="155" priority="11" stopIfTrue="1" operator="lessThan">
      <formula>0</formula>
    </cfRule>
  </conditionalFormatting>
  <conditionalFormatting sqref="I92:J99">
    <cfRule type="cellIs" dxfId="154" priority="12" stopIfTrue="1" operator="lessThan">
      <formula>0</formula>
    </cfRule>
  </conditionalFormatting>
  <conditionalFormatting sqref="K93:K99">
    <cfRule type="cellIs" dxfId="153" priority="17" stopIfTrue="1" operator="lessThan">
      <formula>0</formula>
    </cfRule>
  </conditionalFormatting>
  <conditionalFormatting sqref="K18:M18 K19:K25 M19:M25 L19:L28 G26:K28 M26:AA28">
    <cfRule type="cellIs" dxfId="152" priority="18" stopIfTrue="1" operator="lessThan">
      <formula>0</formula>
    </cfRule>
  </conditionalFormatting>
  <conditionalFormatting sqref="K29:M29 K30:K36 M30:M36 L30:L39 G37:K39 M37:AA39">
    <cfRule type="cellIs" dxfId="151" priority="19" stopIfTrue="1" operator="lessThan">
      <formula>0</formula>
    </cfRule>
  </conditionalFormatting>
  <conditionalFormatting sqref="K40:M40 K41:K47 M41:M47 L41:L50 G48:K50 M48:AA50">
    <cfRule type="cellIs" dxfId="150" priority="20" stopIfTrue="1" operator="lessThan">
      <formula>0</formula>
    </cfRule>
  </conditionalFormatting>
  <conditionalFormatting sqref="K51:M51 K52:K58 M52:M58 L52:L61 G59:K61 M59:AA61">
    <cfRule type="cellIs" dxfId="149" priority="21" stopIfTrue="1" operator="lessThan">
      <formula>0</formula>
    </cfRule>
  </conditionalFormatting>
  <conditionalFormatting sqref="K62:M62 K63:K69 M63:M69 L63:L72 G70:K72 M70:AA72">
    <cfRule type="cellIs" dxfId="148" priority="22" stopIfTrue="1" operator="lessThan">
      <formula>0</formula>
    </cfRule>
  </conditionalFormatting>
  <conditionalFormatting sqref="K84:M84 M89:AA91">
    <cfRule type="cellIs" dxfId="147" priority="23" stopIfTrue="1" operator="lessThan">
      <formula>0</formula>
    </cfRule>
  </conditionalFormatting>
  <conditionalFormatting sqref="K92:M92 M93:M99 L93:L102 G100:K102 M100:AA102">
    <cfRule type="cellIs" dxfId="146" priority="24" stopIfTrue="1" operator="lessThan">
      <formula>0</formula>
    </cfRule>
  </conditionalFormatting>
  <conditionalFormatting sqref="E92:E121">
    <cfRule type="cellIs" dxfId="145" priority="1" stopIfTrue="1" operator="lessThan">
      <formula>0</formula>
    </cfRule>
  </conditionalFormatting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Q350"/>
  <sheetViews>
    <sheetView workbookViewId="0">
      <pane ySplit="5" topLeftCell="A6" activePane="bottomLeft" state="frozen"/>
      <selection activeCell="E13" sqref="E13"/>
      <selection pane="bottomLeft" activeCell="D12" sqref="D12"/>
    </sheetView>
  </sheetViews>
  <sheetFormatPr defaultColWidth="14.42578125" defaultRowHeight="15" customHeight="1" x14ac:dyDescent="0.3"/>
  <cols>
    <col min="1" max="1" width="12.140625" style="137" customWidth="1"/>
    <col min="2" max="2" width="17.28515625" style="137" customWidth="1"/>
    <col min="3" max="3" width="15.5703125" style="137" customWidth="1"/>
    <col min="4" max="4" width="71" style="137" customWidth="1"/>
    <col min="5" max="5" width="25.7109375" style="137" customWidth="1"/>
    <col min="6" max="6" width="26.85546875" style="137" customWidth="1"/>
    <col min="7" max="7" width="26.7109375" style="137" customWidth="1"/>
    <col min="8" max="8" width="18" style="137" customWidth="1"/>
    <col min="9" max="9" width="16" style="137" customWidth="1"/>
    <col min="10" max="10" width="18" style="137" customWidth="1"/>
    <col min="11" max="11" width="23" style="137" customWidth="1"/>
    <col min="12" max="12" width="26.7109375" style="137" customWidth="1"/>
    <col min="13" max="13" width="16" style="137" customWidth="1"/>
    <col min="14" max="14" width="14.5703125" style="137" customWidth="1"/>
    <col min="15" max="15" width="15.7109375" style="137" customWidth="1"/>
    <col min="16" max="16" width="20.5703125" style="137" customWidth="1"/>
    <col min="17" max="17" width="95.140625" style="137" customWidth="1"/>
    <col min="18" max="26" width="8.7109375" style="137" customWidth="1"/>
    <col min="27" max="16384" width="14.42578125" style="137"/>
  </cols>
  <sheetData>
    <row r="1" spans="1:17" ht="18.75" customHeight="1" x14ac:dyDescent="0.3">
      <c r="A1" s="297" t="s">
        <v>201</v>
      </c>
      <c r="B1" s="143" t="s">
        <v>889</v>
      </c>
      <c r="C1" s="143" t="s">
        <v>203</v>
      </c>
      <c r="D1" s="143" t="s">
        <v>77</v>
      </c>
      <c r="E1" s="1"/>
      <c r="F1" s="142"/>
      <c r="G1" s="142"/>
      <c r="H1" s="142" t="s">
        <v>890</v>
      </c>
      <c r="I1" s="142" t="s">
        <v>208</v>
      </c>
      <c r="J1" s="9" t="s">
        <v>201</v>
      </c>
      <c r="K1" s="2" t="s">
        <v>274</v>
      </c>
      <c r="L1" s="3" t="s">
        <v>275</v>
      </c>
      <c r="M1" s="3" t="s">
        <v>276</v>
      </c>
      <c r="N1" s="3" t="s">
        <v>86</v>
      </c>
      <c r="O1" s="4" t="s">
        <v>277</v>
      </c>
      <c r="P1" s="9"/>
      <c r="Q1" s="9" t="s">
        <v>891</v>
      </c>
    </row>
    <row r="2" spans="1:17" ht="47.25" customHeight="1" x14ac:dyDescent="0.3">
      <c r="A2" s="5"/>
      <c r="B2" s="6"/>
      <c r="C2" s="6"/>
      <c r="D2" s="7"/>
      <c r="E2" s="8" t="s">
        <v>892</v>
      </c>
      <c r="F2" s="8" t="s">
        <v>893</v>
      </c>
      <c r="G2" s="8" t="s">
        <v>894</v>
      </c>
      <c r="H2" s="8" t="s">
        <v>895</v>
      </c>
      <c r="I2" s="298"/>
      <c r="J2" s="9"/>
      <c r="K2" s="10"/>
      <c r="L2" s="9"/>
      <c r="M2" s="11"/>
      <c r="N2" s="9"/>
      <c r="O2" s="9"/>
      <c r="P2" s="9"/>
      <c r="Q2" s="9"/>
    </row>
    <row r="3" spans="1:17" ht="18.75" customHeight="1" x14ac:dyDescent="0.3">
      <c r="A3" s="12"/>
      <c r="B3" s="13"/>
      <c r="C3" s="14"/>
      <c r="D3" s="15" t="s">
        <v>209</v>
      </c>
      <c r="E3" s="16">
        <v>0</v>
      </c>
      <c r="F3" s="16">
        <v>0</v>
      </c>
      <c r="G3" s="16">
        <v>0</v>
      </c>
      <c r="H3" s="16">
        <v>0</v>
      </c>
      <c r="I3" s="16">
        <f>SUM(E3:H3)</f>
        <v>0</v>
      </c>
      <c r="J3" s="17"/>
      <c r="K3" s="18"/>
      <c r="L3" s="17"/>
      <c r="M3" s="17"/>
      <c r="N3" s="17"/>
      <c r="O3" s="17"/>
      <c r="P3" s="17"/>
      <c r="Q3" s="17"/>
    </row>
    <row r="4" spans="1:17" ht="18.75" customHeight="1" x14ac:dyDescent="0.3">
      <c r="A4" s="19"/>
      <c r="B4" s="20"/>
      <c r="C4" s="21"/>
      <c r="D4" s="22" t="s">
        <v>896</v>
      </c>
      <c r="E4" s="23">
        <v>4492247</v>
      </c>
      <c r="F4" s="23">
        <v>1706300</v>
      </c>
      <c r="G4" s="23">
        <v>4442400</v>
      </c>
      <c r="H4" s="23">
        <v>3550425</v>
      </c>
      <c r="I4" s="23">
        <f>SUM(E4:H4)</f>
        <v>14191372</v>
      </c>
      <c r="J4" s="24"/>
      <c r="K4" s="18"/>
      <c r="L4" s="17">
        <f>SUM(L6:L344)</f>
        <v>4127873.5000000009</v>
      </c>
      <c r="M4" s="17"/>
      <c r="N4" s="17"/>
      <c r="O4" s="17"/>
      <c r="P4" s="17"/>
      <c r="Q4" s="17"/>
    </row>
    <row r="5" spans="1:17" ht="18.75" customHeight="1" x14ac:dyDescent="0.3">
      <c r="A5" s="19"/>
      <c r="B5" s="21"/>
      <c r="C5" s="21"/>
      <c r="D5" s="25" t="s">
        <v>211</v>
      </c>
      <c r="E5" s="23"/>
      <c r="F5" s="23"/>
      <c r="G5" s="23"/>
      <c r="H5" s="23"/>
      <c r="I5" s="23"/>
      <c r="J5" s="17"/>
      <c r="K5" s="18"/>
      <c r="L5" s="17"/>
      <c r="M5" s="17"/>
      <c r="N5" s="17"/>
      <c r="O5" s="17"/>
      <c r="P5" s="17"/>
      <c r="Q5" s="17"/>
    </row>
    <row r="6" spans="1:17" ht="18.75" customHeight="1" x14ac:dyDescent="0.3">
      <c r="A6" s="26" t="s">
        <v>212</v>
      </c>
      <c r="B6" s="27"/>
      <c r="C6" s="28"/>
      <c r="D6" s="29"/>
      <c r="E6" s="30"/>
      <c r="F6" s="30"/>
      <c r="G6" s="30"/>
      <c r="H6" s="30"/>
      <c r="I6" s="31">
        <f>SUM(E6:H6)</f>
        <v>0</v>
      </c>
      <c r="J6" s="4"/>
      <c r="K6" s="29"/>
      <c r="L6" s="4"/>
      <c r="M6" s="4"/>
      <c r="N6" s="4"/>
      <c r="O6" s="4"/>
      <c r="P6" s="4"/>
      <c r="Q6" s="4"/>
    </row>
    <row r="7" spans="1:17" ht="18.75" customHeight="1" x14ac:dyDescent="0.3">
      <c r="A7" s="32"/>
      <c r="B7" s="42"/>
      <c r="C7" s="33"/>
      <c r="D7" s="34"/>
      <c r="E7" s="35"/>
      <c r="F7" s="35"/>
      <c r="G7" s="35"/>
      <c r="H7" s="35"/>
      <c r="I7" s="36"/>
      <c r="J7" s="37"/>
      <c r="K7" s="34"/>
      <c r="L7" s="37"/>
      <c r="M7" s="37"/>
      <c r="N7" s="37"/>
      <c r="O7" s="37"/>
      <c r="P7" s="37"/>
      <c r="Q7" s="37"/>
    </row>
    <row r="8" spans="1:17" ht="18.75" customHeight="1" x14ac:dyDescent="0.3">
      <c r="A8" s="32"/>
      <c r="B8" s="38"/>
      <c r="C8" s="39"/>
      <c r="D8" s="40"/>
      <c r="E8" s="35"/>
      <c r="F8" s="35"/>
      <c r="G8" s="35"/>
      <c r="H8" s="35"/>
      <c r="I8" s="36"/>
      <c r="J8" s="37"/>
      <c r="K8" s="41"/>
      <c r="L8" s="37"/>
      <c r="M8" s="37"/>
      <c r="N8" s="37"/>
      <c r="O8" s="37"/>
      <c r="P8" s="37"/>
      <c r="Q8" s="37"/>
    </row>
    <row r="9" spans="1:17" ht="18.75" customHeight="1" x14ac:dyDescent="0.3">
      <c r="A9" s="32"/>
      <c r="B9" s="42"/>
      <c r="C9" s="33"/>
      <c r="D9" s="41"/>
      <c r="E9" s="35"/>
      <c r="F9" s="35"/>
      <c r="G9" s="35"/>
      <c r="H9" s="35"/>
      <c r="I9" s="36"/>
      <c r="J9" s="37"/>
      <c r="K9" s="41"/>
      <c r="L9" s="37"/>
      <c r="M9" s="37"/>
      <c r="N9" s="37"/>
      <c r="O9" s="37"/>
      <c r="P9" s="37"/>
      <c r="Q9" s="37"/>
    </row>
    <row r="10" spans="1:17" ht="18.75" customHeight="1" x14ac:dyDescent="0.3">
      <c r="A10" s="32"/>
      <c r="B10" s="42"/>
      <c r="C10" s="33"/>
      <c r="D10" s="41"/>
      <c r="E10" s="35"/>
      <c r="F10" s="35"/>
      <c r="G10" s="35"/>
      <c r="H10" s="35"/>
      <c r="I10" s="36"/>
      <c r="J10" s="37"/>
      <c r="K10" s="41"/>
      <c r="L10" s="37"/>
      <c r="M10" s="37"/>
      <c r="N10" s="37"/>
      <c r="O10" s="37"/>
      <c r="P10" s="37"/>
      <c r="Q10" s="37"/>
    </row>
    <row r="11" spans="1:17" ht="18.75" customHeight="1" x14ac:dyDescent="0.3">
      <c r="A11" s="32"/>
      <c r="B11" s="42"/>
      <c r="C11" s="33"/>
      <c r="D11" s="41"/>
      <c r="E11" s="35"/>
      <c r="F11" s="35"/>
      <c r="G11" s="35"/>
      <c r="H11" s="35"/>
      <c r="I11" s="36"/>
      <c r="J11" s="37"/>
      <c r="K11" s="41"/>
      <c r="L11" s="37"/>
      <c r="M11" s="37"/>
      <c r="N11" s="37"/>
      <c r="O11" s="37"/>
      <c r="P11" s="37"/>
      <c r="Q11" s="37"/>
    </row>
    <row r="12" spans="1:17" ht="18.75" customHeight="1" x14ac:dyDescent="0.3">
      <c r="A12" s="32"/>
      <c r="B12" s="42"/>
      <c r="C12" s="33"/>
      <c r="D12" s="41"/>
      <c r="E12" s="35"/>
      <c r="F12" s="35"/>
      <c r="G12" s="35"/>
      <c r="H12" s="35"/>
      <c r="I12" s="36"/>
      <c r="J12" s="43"/>
      <c r="K12" s="41"/>
      <c r="L12" s="37"/>
      <c r="M12" s="37"/>
      <c r="N12" s="37"/>
      <c r="O12" s="37"/>
      <c r="P12" s="37"/>
      <c r="Q12" s="43"/>
    </row>
    <row r="13" spans="1:17" ht="18.75" customHeight="1" x14ac:dyDescent="0.3">
      <c r="A13" s="32"/>
      <c r="B13" s="42"/>
      <c r="C13" s="33"/>
      <c r="D13" s="41"/>
      <c r="E13" s="35"/>
      <c r="F13" s="35"/>
      <c r="G13" s="35"/>
      <c r="H13" s="35"/>
      <c r="I13" s="36"/>
      <c r="J13" s="43"/>
      <c r="K13" s="41"/>
      <c r="L13" s="37"/>
      <c r="M13" s="37"/>
      <c r="N13" s="37"/>
      <c r="O13" s="37"/>
      <c r="P13" s="37"/>
      <c r="Q13" s="43"/>
    </row>
    <row r="14" spans="1:17" ht="21.75" customHeight="1" x14ac:dyDescent="0.3">
      <c r="A14" s="44"/>
      <c r="B14" s="45"/>
      <c r="C14" s="46"/>
      <c r="D14" s="47"/>
      <c r="E14" s="48"/>
      <c r="F14" s="48"/>
      <c r="G14" s="48"/>
      <c r="H14" s="48"/>
      <c r="I14" s="49"/>
      <c r="J14" s="37"/>
      <c r="K14" s="41"/>
      <c r="L14" s="37"/>
      <c r="M14" s="37"/>
      <c r="N14" s="37"/>
      <c r="O14" s="37"/>
      <c r="P14" s="37"/>
      <c r="Q14" s="37"/>
    </row>
    <row r="15" spans="1:17" ht="18.75" customHeight="1" x14ac:dyDescent="0.3">
      <c r="A15" s="50"/>
      <c r="B15" s="51"/>
      <c r="C15" s="51"/>
      <c r="D15" s="52" t="s">
        <v>213</v>
      </c>
      <c r="E15" s="53">
        <f>SUM(E6:E14)</f>
        <v>0</v>
      </c>
      <c r="F15" s="53">
        <f>SUM(F6:F14)</f>
        <v>0</v>
      </c>
      <c r="G15" s="53">
        <f>SUM(G6:G14)</f>
        <v>0</v>
      </c>
      <c r="H15" s="53">
        <f>SUM(H6:H14)</f>
        <v>0</v>
      </c>
      <c r="I15" s="54">
        <f t="shared" ref="I15:I18" si="0">SUM(E15:H15)</f>
        <v>0</v>
      </c>
      <c r="J15" s="55"/>
      <c r="K15" s="56"/>
      <c r="L15" s="55"/>
      <c r="M15" s="55"/>
      <c r="N15" s="37"/>
      <c r="O15" s="55"/>
      <c r="P15" s="55"/>
      <c r="Q15" s="55"/>
    </row>
    <row r="16" spans="1:17" ht="18.75" customHeight="1" x14ac:dyDescent="0.3">
      <c r="A16" s="50"/>
      <c r="B16" s="51"/>
      <c r="C16" s="51"/>
      <c r="D16" s="52" t="s">
        <v>341</v>
      </c>
      <c r="E16" s="54">
        <f>SUM(E3+E15)</f>
        <v>0</v>
      </c>
      <c r="F16" s="54">
        <f>SUM(F3+F15)</f>
        <v>0</v>
      </c>
      <c r="G16" s="54">
        <f>SUM(G3+G15)</f>
        <v>0</v>
      </c>
      <c r="H16" s="54">
        <f>SUM(H3+H15)</f>
        <v>0</v>
      </c>
      <c r="I16" s="54">
        <f t="shared" si="0"/>
        <v>0</v>
      </c>
      <c r="J16" s="55"/>
      <c r="K16" s="56"/>
      <c r="L16" s="55"/>
      <c r="M16" s="55"/>
      <c r="N16" s="37"/>
      <c r="O16" s="55"/>
      <c r="P16" s="55"/>
      <c r="Q16" s="55"/>
    </row>
    <row r="17" spans="1:17" ht="18.75" customHeight="1" x14ac:dyDescent="0.3">
      <c r="A17" s="57"/>
      <c r="B17" s="58"/>
      <c r="C17" s="58"/>
      <c r="D17" s="59" t="s">
        <v>210</v>
      </c>
      <c r="E17" s="60">
        <f>SUM(E4-E15)</f>
        <v>4492247</v>
      </c>
      <c r="F17" s="60">
        <f>SUM(F4-F15)</f>
        <v>1706300</v>
      </c>
      <c r="G17" s="60">
        <f>SUM(G4-G15)</f>
        <v>4442400</v>
      </c>
      <c r="H17" s="60">
        <f>SUM(H4-H15)</f>
        <v>3550425</v>
      </c>
      <c r="I17" s="60">
        <f t="shared" si="0"/>
        <v>14191372</v>
      </c>
      <c r="J17" s="55"/>
      <c r="K17" s="56"/>
      <c r="L17" s="55"/>
      <c r="M17" s="55"/>
      <c r="N17" s="37"/>
      <c r="O17" s="55"/>
      <c r="P17" s="55"/>
      <c r="Q17" s="55"/>
    </row>
    <row r="18" spans="1:17" ht="18.75" customHeight="1" x14ac:dyDescent="0.3">
      <c r="A18" s="61" t="s">
        <v>216</v>
      </c>
      <c r="B18" s="42"/>
      <c r="C18" s="33"/>
      <c r="D18" s="41"/>
      <c r="E18" s="35"/>
      <c r="F18" s="35"/>
      <c r="G18" s="35"/>
      <c r="H18" s="35"/>
      <c r="I18" s="36">
        <f t="shared" si="0"/>
        <v>0</v>
      </c>
      <c r="J18" s="37"/>
      <c r="K18" s="41"/>
      <c r="L18" s="37"/>
      <c r="M18" s="37"/>
      <c r="N18" s="37"/>
      <c r="O18" s="37"/>
      <c r="P18" s="37"/>
      <c r="Q18" s="37"/>
    </row>
    <row r="19" spans="1:17" ht="140.25" customHeight="1" x14ac:dyDescent="0.3">
      <c r="A19" s="32"/>
      <c r="B19" s="42"/>
      <c r="C19" s="33"/>
      <c r="D19" s="34"/>
      <c r="E19" s="35"/>
      <c r="F19" s="35"/>
      <c r="G19" s="35"/>
      <c r="H19" s="35"/>
      <c r="I19" s="62"/>
      <c r="J19" s="63">
        <v>243560</v>
      </c>
      <c r="K19" s="41"/>
      <c r="L19" s="37">
        <v>102350</v>
      </c>
      <c r="M19" s="37"/>
      <c r="N19" s="37">
        <f>I19-L19-M19</f>
        <v>-102350</v>
      </c>
      <c r="O19" s="64" t="s">
        <v>897</v>
      </c>
      <c r="P19" s="37"/>
      <c r="Q19" s="37"/>
    </row>
    <row r="20" spans="1:17" ht="69" customHeight="1" x14ac:dyDescent="0.3">
      <c r="A20" s="32"/>
      <c r="B20" s="65"/>
      <c r="C20" s="33"/>
      <c r="D20" s="34"/>
      <c r="E20" s="35"/>
      <c r="F20" s="35"/>
      <c r="G20" s="35"/>
      <c r="H20" s="35"/>
      <c r="I20" s="62"/>
      <c r="J20" s="63">
        <v>243584</v>
      </c>
      <c r="K20" s="41" t="s">
        <v>898</v>
      </c>
      <c r="L20" s="37">
        <f>I20</f>
        <v>0</v>
      </c>
      <c r="M20" s="37"/>
      <c r="N20" s="37"/>
      <c r="O20" s="37"/>
      <c r="P20" s="37"/>
      <c r="Q20" s="37"/>
    </row>
    <row r="21" spans="1:17" ht="18.75" customHeight="1" x14ac:dyDescent="0.3">
      <c r="A21" s="32"/>
      <c r="B21" s="42"/>
      <c r="C21" s="33"/>
      <c r="D21" s="40"/>
      <c r="E21" s="35"/>
      <c r="F21" s="35"/>
      <c r="G21" s="35"/>
      <c r="H21" s="35"/>
      <c r="I21" s="36"/>
      <c r="J21" s="63"/>
      <c r="K21" s="41"/>
      <c r="L21" s="37"/>
      <c r="M21" s="37"/>
      <c r="N21" s="37"/>
      <c r="O21" s="37"/>
      <c r="P21" s="37"/>
      <c r="Q21" s="37"/>
    </row>
    <row r="22" spans="1:17" ht="18.75" customHeight="1" x14ac:dyDescent="0.3">
      <c r="A22" s="66"/>
      <c r="B22" s="67"/>
      <c r="C22" s="68"/>
      <c r="D22" s="69"/>
      <c r="E22" s="35"/>
      <c r="F22" s="35"/>
      <c r="G22" s="35"/>
      <c r="H22" s="35"/>
      <c r="I22" s="36"/>
      <c r="J22" s="63"/>
      <c r="K22" s="41"/>
      <c r="L22" s="37"/>
      <c r="M22" s="37"/>
      <c r="N22" s="37"/>
      <c r="O22" s="37"/>
      <c r="P22" s="37"/>
      <c r="Q22" s="37"/>
    </row>
    <row r="23" spans="1:17" ht="18.75" customHeight="1" x14ac:dyDescent="0.3">
      <c r="A23" s="32"/>
      <c r="B23" s="42"/>
      <c r="C23" s="33"/>
      <c r="D23" s="41"/>
      <c r="E23" s="35"/>
      <c r="F23" s="35"/>
      <c r="G23" s="35"/>
      <c r="H23" s="35"/>
      <c r="I23" s="36"/>
      <c r="J23" s="63"/>
      <c r="K23" s="41"/>
      <c r="L23" s="37"/>
      <c r="M23" s="37"/>
      <c r="N23" s="37"/>
      <c r="O23" s="37"/>
      <c r="P23" s="37"/>
      <c r="Q23" s="37"/>
    </row>
    <row r="24" spans="1:17" ht="18.75" customHeight="1" x14ac:dyDescent="0.3">
      <c r="A24" s="32"/>
      <c r="B24" s="42"/>
      <c r="C24" s="33"/>
      <c r="D24" s="41"/>
      <c r="E24" s="35"/>
      <c r="F24" s="35"/>
      <c r="G24" s="35"/>
      <c r="H24" s="35"/>
      <c r="I24" s="36"/>
      <c r="J24" s="63"/>
      <c r="K24" s="41"/>
      <c r="L24" s="37"/>
      <c r="M24" s="37"/>
      <c r="N24" s="37"/>
      <c r="O24" s="37"/>
      <c r="P24" s="37"/>
      <c r="Q24" s="43"/>
    </row>
    <row r="25" spans="1:17" ht="18.75" customHeight="1" x14ac:dyDescent="0.3">
      <c r="A25" s="32"/>
      <c r="B25" s="42"/>
      <c r="C25" s="33"/>
      <c r="D25" s="41"/>
      <c r="E25" s="35"/>
      <c r="F25" s="35"/>
      <c r="G25" s="35"/>
      <c r="H25" s="35"/>
      <c r="I25" s="36"/>
      <c r="J25" s="63"/>
      <c r="K25" s="41"/>
      <c r="L25" s="37"/>
      <c r="M25" s="37"/>
      <c r="N25" s="37"/>
      <c r="O25" s="37"/>
      <c r="P25" s="37"/>
      <c r="Q25" s="43"/>
    </row>
    <row r="26" spans="1:17" ht="18.75" customHeight="1" x14ac:dyDescent="0.3">
      <c r="A26" s="50"/>
      <c r="B26" s="51"/>
      <c r="C26" s="51"/>
      <c r="D26" s="52" t="s">
        <v>217</v>
      </c>
      <c r="E26" s="53">
        <f>SUM(E18:E25)</f>
        <v>0</v>
      </c>
      <c r="F26" s="53">
        <f>SUM(F18:F25)</f>
        <v>0</v>
      </c>
      <c r="G26" s="53">
        <f>SUM(G18:G25)</f>
        <v>0</v>
      </c>
      <c r="H26" s="53">
        <f>SUM(H18:H25)</f>
        <v>0</v>
      </c>
      <c r="I26" s="54">
        <f t="shared" ref="I26:I51" si="1">SUM(E26:H26)</f>
        <v>0</v>
      </c>
      <c r="J26" s="63"/>
      <c r="K26" s="56"/>
      <c r="L26" s="55"/>
      <c r="M26" s="55"/>
      <c r="N26" s="37"/>
      <c r="O26" s="55"/>
      <c r="P26" s="55"/>
      <c r="Q26" s="55"/>
    </row>
    <row r="27" spans="1:17" ht="18.75" customHeight="1" x14ac:dyDescent="0.3">
      <c r="A27" s="50"/>
      <c r="B27" s="51"/>
      <c r="C27" s="51"/>
      <c r="D27" s="52" t="s">
        <v>218</v>
      </c>
      <c r="E27" s="54">
        <f>SUM(E16+E26)</f>
        <v>0</v>
      </c>
      <c r="F27" s="54">
        <f>SUM(F16+F26)</f>
        <v>0</v>
      </c>
      <c r="G27" s="54">
        <f>SUM(G16+G26)</f>
        <v>0</v>
      </c>
      <c r="H27" s="54">
        <f>SUM(H16+H26)</f>
        <v>0</v>
      </c>
      <c r="I27" s="54">
        <f t="shared" si="1"/>
        <v>0</v>
      </c>
      <c r="J27" s="63"/>
      <c r="K27" s="56"/>
      <c r="L27" s="55"/>
      <c r="M27" s="55"/>
      <c r="N27" s="37"/>
      <c r="O27" s="55"/>
      <c r="P27" s="55"/>
      <c r="Q27" s="55"/>
    </row>
    <row r="28" spans="1:17" ht="18.75" customHeight="1" x14ac:dyDescent="0.3">
      <c r="A28" s="57"/>
      <c r="B28" s="58"/>
      <c r="C28" s="58"/>
      <c r="D28" s="59" t="s">
        <v>219</v>
      </c>
      <c r="E28" s="60">
        <f>SUM(E17-E26)</f>
        <v>4492247</v>
      </c>
      <c r="F28" s="60">
        <f>SUM(F17-F26)</f>
        <v>1706300</v>
      </c>
      <c r="G28" s="60">
        <f>SUM(G17-G26)</f>
        <v>4442400</v>
      </c>
      <c r="H28" s="60">
        <f>SUM(H17-H26)</f>
        <v>3550425</v>
      </c>
      <c r="I28" s="54">
        <f t="shared" si="1"/>
        <v>14191372</v>
      </c>
      <c r="J28" s="63"/>
      <c r="K28" s="56"/>
      <c r="L28" s="55"/>
      <c r="M28" s="55"/>
      <c r="N28" s="37"/>
      <c r="O28" s="55"/>
      <c r="P28" s="55"/>
      <c r="Q28" s="55"/>
    </row>
    <row r="29" spans="1:17" ht="18.75" customHeight="1" x14ac:dyDescent="0.3">
      <c r="A29" s="61" t="s">
        <v>220</v>
      </c>
      <c r="B29" s="70"/>
      <c r="C29" s="71"/>
      <c r="D29" s="41"/>
      <c r="E29" s="35"/>
      <c r="F29" s="35"/>
      <c r="G29" s="35"/>
      <c r="H29" s="72"/>
      <c r="I29" s="73">
        <f t="shared" si="1"/>
        <v>0</v>
      </c>
      <c r="J29" s="63"/>
      <c r="K29" s="41"/>
      <c r="L29" s="37"/>
      <c r="M29" s="37"/>
      <c r="N29" s="37"/>
      <c r="O29" s="37"/>
      <c r="P29" s="74" t="s">
        <v>899</v>
      </c>
      <c r="Q29" s="37"/>
    </row>
    <row r="30" spans="1:17" ht="83.25" customHeight="1" x14ac:dyDescent="0.3">
      <c r="A30" s="32"/>
      <c r="B30" s="33"/>
      <c r="C30" s="75"/>
      <c r="D30" s="41"/>
      <c r="E30" s="35"/>
      <c r="F30" s="35"/>
      <c r="G30" s="35"/>
      <c r="H30" s="72"/>
      <c r="I30" s="62"/>
      <c r="J30" s="63">
        <v>243591</v>
      </c>
      <c r="K30" s="76" t="s">
        <v>900</v>
      </c>
      <c r="L30" s="37">
        <v>21900</v>
      </c>
      <c r="M30" s="37"/>
      <c r="N30" s="37"/>
      <c r="O30" s="37"/>
      <c r="P30" s="77">
        <v>468500</v>
      </c>
      <c r="Q30" s="78" t="s">
        <v>1011</v>
      </c>
    </row>
    <row r="31" spans="1:17" ht="98.25" customHeight="1" x14ac:dyDescent="0.3">
      <c r="A31" s="32"/>
      <c r="B31" s="33"/>
      <c r="C31" s="75"/>
      <c r="D31" s="41"/>
      <c r="E31" s="35"/>
      <c r="F31" s="35"/>
      <c r="G31" s="35"/>
      <c r="H31" s="72"/>
      <c r="I31" s="62">
        <f t="shared" si="1"/>
        <v>0</v>
      </c>
      <c r="J31" s="63">
        <v>243643</v>
      </c>
      <c r="K31" s="76" t="s">
        <v>901</v>
      </c>
      <c r="L31" s="37">
        <v>78309.399999999994</v>
      </c>
      <c r="M31" s="37"/>
      <c r="N31" s="37"/>
      <c r="O31" s="37"/>
      <c r="P31" s="77"/>
      <c r="Q31" s="78" t="s">
        <v>1012</v>
      </c>
    </row>
    <row r="32" spans="1:17" ht="84" customHeight="1" x14ac:dyDescent="0.3">
      <c r="A32" s="32"/>
      <c r="B32" s="33"/>
      <c r="C32" s="75"/>
      <c r="D32" s="41"/>
      <c r="E32" s="35"/>
      <c r="F32" s="35"/>
      <c r="G32" s="35"/>
      <c r="H32" s="72"/>
      <c r="I32" s="62">
        <f t="shared" si="1"/>
        <v>0</v>
      </c>
      <c r="J32" s="63">
        <v>243643</v>
      </c>
      <c r="K32" s="76" t="s">
        <v>902</v>
      </c>
      <c r="L32" s="37">
        <v>100880</v>
      </c>
      <c r="M32" s="37"/>
      <c r="N32" s="37"/>
      <c r="O32" s="37"/>
      <c r="P32" s="77"/>
      <c r="Q32" s="78" t="s">
        <v>903</v>
      </c>
    </row>
    <row r="33" spans="1:16" ht="18.75" customHeight="1" x14ac:dyDescent="0.3">
      <c r="A33" s="32"/>
      <c r="B33" s="33"/>
      <c r="C33" s="75"/>
      <c r="D33" s="41"/>
      <c r="E33" s="35"/>
      <c r="F33" s="35"/>
      <c r="G33" s="35"/>
      <c r="H33" s="72"/>
      <c r="I33" s="62">
        <f t="shared" si="1"/>
        <v>0</v>
      </c>
      <c r="J33" s="63"/>
      <c r="K33" s="76"/>
      <c r="L33" s="37"/>
      <c r="M33" s="37"/>
      <c r="N33" s="37"/>
      <c r="O33" s="37"/>
      <c r="P33" s="77"/>
    </row>
    <row r="34" spans="1:16" ht="18.75" customHeight="1" x14ac:dyDescent="0.3">
      <c r="A34" s="32"/>
      <c r="B34" s="33"/>
      <c r="C34" s="75"/>
      <c r="D34" s="41"/>
      <c r="E34" s="35"/>
      <c r="F34" s="35"/>
      <c r="G34" s="35"/>
      <c r="H34" s="72"/>
      <c r="I34" s="62">
        <f t="shared" si="1"/>
        <v>0</v>
      </c>
      <c r="J34" s="63"/>
      <c r="K34" s="76"/>
      <c r="L34" s="37"/>
      <c r="M34" s="37"/>
      <c r="N34" s="37"/>
      <c r="O34" s="37"/>
      <c r="P34" s="77"/>
    </row>
    <row r="35" spans="1:16" ht="18.75" customHeight="1" x14ac:dyDescent="0.3">
      <c r="A35" s="32"/>
      <c r="B35" s="33"/>
      <c r="C35" s="75"/>
      <c r="D35" s="41"/>
      <c r="E35" s="35"/>
      <c r="F35" s="35"/>
      <c r="G35" s="35"/>
      <c r="H35" s="72"/>
      <c r="I35" s="62">
        <f t="shared" si="1"/>
        <v>0</v>
      </c>
      <c r="J35" s="63"/>
      <c r="K35" s="76"/>
      <c r="L35" s="37"/>
      <c r="M35" s="37"/>
      <c r="N35" s="37"/>
      <c r="O35" s="37"/>
      <c r="P35" s="77"/>
    </row>
    <row r="36" spans="1:16" ht="18.75" customHeight="1" x14ac:dyDescent="0.3">
      <c r="A36" s="32"/>
      <c r="B36" s="33"/>
      <c r="C36" s="75"/>
      <c r="D36" s="41"/>
      <c r="E36" s="35"/>
      <c r="F36" s="35"/>
      <c r="G36" s="35"/>
      <c r="H36" s="72"/>
      <c r="I36" s="62">
        <f t="shared" si="1"/>
        <v>0</v>
      </c>
      <c r="J36" s="63"/>
      <c r="K36" s="76"/>
      <c r="L36" s="37"/>
      <c r="M36" s="37"/>
      <c r="N36" s="37"/>
      <c r="O36" s="37"/>
      <c r="P36" s="77"/>
    </row>
    <row r="37" spans="1:16" ht="18.75" customHeight="1" x14ac:dyDescent="0.3">
      <c r="A37" s="32"/>
      <c r="B37" s="33"/>
      <c r="C37" s="75"/>
      <c r="D37" s="41"/>
      <c r="E37" s="35"/>
      <c r="F37" s="35"/>
      <c r="G37" s="35"/>
      <c r="H37" s="72"/>
      <c r="I37" s="62">
        <f t="shared" si="1"/>
        <v>0</v>
      </c>
      <c r="J37" s="63"/>
      <c r="K37" s="76"/>
      <c r="L37" s="37"/>
      <c r="M37" s="37"/>
      <c r="N37" s="37"/>
      <c r="O37" s="37"/>
      <c r="P37" s="77"/>
    </row>
    <row r="38" spans="1:16" ht="18.75" customHeight="1" x14ac:dyDescent="0.3">
      <c r="A38" s="32"/>
      <c r="B38" s="33"/>
      <c r="C38" s="75"/>
      <c r="D38" s="41"/>
      <c r="E38" s="35"/>
      <c r="F38" s="35"/>
      <c r="G38" s="35"/>
      <c r="H38" s="72"/>
      <c r="I38" s="62">
        <f t="shared" si="1"/>
        <v>0</v>
      </c>
      <c r="J38" s="63"/>
      <c r="K38" s="76"/>
      <c r="L38" s="37"/>
      <c r="M38" s="37"/>
      <c r="N38" s="37"/>
      <c r="O38" s="37"/>
      <c r="P38" s="77"/>
    </row>
    <row r="39" spans="1:16" ht="18.75" customHeight="1" x14ac:dyDescent="0.3">
      <c r="A39" s="32"/>
      <c r="B39" s="33"/>
      <c r="C39" s="75"/>
      <c r="D39" s="41"/>
      <c r="E39" s="35"/>
      <c r="F39" s="35"/>
      <c r="G39" s="35"/>
      <c r="H39" s="72"/>
      <c r="I39" s="62">
        <f t="shared" si="1"/>
        <v>0</v>
      </c>
      <c r="J39" s="63"/>
      <c r="K39" s="41"/>
      <c r="L39" s="37"/>
      <c r="M39" s="37"/>
      <c r="N39" s="37"/>
      <c r="O39" s="37"/>
      <c r="P39" s="77">
        <v>393600</v>
      </c>
    </row>
    <row r="40" spans="1:16" ht="18.75" customHeight="1" x14ac:dyDescent="0.3">
      <c r="A40" s="32"/>
      <c r="B40" s="33"/>
      <c r="C40" s="75"/>
      <c r="D40" s="41"/>
      <c r="E40" s="35"/>
      <c r="F40" s="35"/>
      <c r="G40" s="35"/>
      <c r="H40" s="72"/>
      <c r="I40" s="62">
        <f t="shared" si="1"/>
        <v>0</v>
      </c>
      <c r="J40" s="63"/>
      <c r="K40" s="41"/>
      <c r="L40" s="37"/>
      <c r="M40" s="37"/>
      <c r="N40" s="37"/>
      <c r="O40" s="37"/>
      <c r="P40" s="77">
        <v>717400</v>
      </c>
    </row>
    <row r="41" spans="1:16" ht="18.75" customHeight="1" x14ac:dyDescent="0.3">
      <c r="A41" s="32"/>
      <c r="B41" s="33"/>
      <c r="C41" s="75"/>
      <c r="D41" s="41"/>
      <c r="E41" s="35"/>
      <c r="F41" s="35"/>
      <c r="G41" s="35"/>
      <c r="H41" s="72"/>
      <c r="I41" s="62">
        <f t="shared" si="1"/>
        <v>0</v>
      </c>
      <c r="J41" s="63"/>
      <c r="K41" s="41"/>
      <c r="L41" s="37"/>
      <c r="M41" s="37"/>
      <c r="N41" s="37"/>
      <c r="O41" s="37"/>
      <c r="P41" s="77">
        <v>126800</v>
      </c>
    </row>
    <row r="42" spans="1:16" ht="18.75" customHeight="1" x14ac:dyDescent="0.3">
      <c r="A42" s="32"/>
      <c r="B42" s="42"/>
      <c r="C42" s="33"/>
      <c r="D42" s="41"/>
      <c r="E42" s="35"/>
      <c r="F42" s="35"/>
      <c r="G42" s="35"/>
      <c r="H42" s="72"/>
      <c r="I42" s="62">
        <f t="shared" si="1"/>
        <v>0</v>
      </c>
      <c r="J42" s="63"/>
      <c r="K42" s="41"/>
      <c r="L42" s="37"/>
      <c r="M42" s="37"/>
      <c r="N42" s="37"/>
      <c r="O42" s="37"/>
      <c r="P42" s="37"/>
    </row>
    <row r="43" spans="1:16" ht="18.75" customHeight="1" x14ac:dyDescent="0.3">
      <c r="A43" s="32"/>
      <c r="B43" s="42"/>
      <c r="C43" s="33"/>
      <c r="D43" s="34"/>
      <c r="E43" s="35"/>
      <c r="F43" s="35"/>
      <c r="G43" s="35"/>
      <c r="H43" s="72"/>
      <c r="I43" s="62">
        <f t="shared" si="1"/>
        <v>0</v>
      </c>
      <c r="J43" s="63">
        <v>243608</v>
      </c>
      <c r="K43" s="76" t="s">
        <v>904</v>
      </c>
      <c r="L43" s="37">
        <v>877457.88</v>
      </c>
      <c r="M43" s="37"/>
      <c r="N43" s="37"/>
      <c r="O43" s="37"/>
      <c r="P43" s="37"/>
    </row>
    <row r="44" spans="1:16" ht="18.75" customHeight="1" x14ac:dyDescent="0.3">
      <c r="A44" s="32"/>
      <c r="B44" s="42"/>
      <c r="C44" s="33"/>
      <c r="D44" s="41"/>
      <c r="E44" s="35"/>
      <c r="F44" s="35"/>
      <c r="G44" s="35"/>
      <c r="H44" s="72"/>
      <c r="I44" s="62">
        <f t="shared" si="1"/>
        <v>0</v>
      </c>
      <c r="J44" s="63"/>
      <c r="K44" s="41"/>
      <c r="L44" s="37"/>
      <c r="M44" s="37"/>
      <c r="N44" s="37"/>
      <c r="O44" s="37"/>
      <c r="P44" s="37"/>
    </row>
    <row r="45" spans="1:16" ht="18.75" customHeight="1" x14ac:dyDescent="0.3">
      <c r="A45" s="32"/>
      <c r="B45" s="42"/>
      <c r="C45" s="33"/>
      <c r="D45" s="41"/>
      <c r="E45" s="35"/>
      <c r="F45" s="35"/>
      <c r="G45" s="35"/>
      <c r="H45" s="72"/>
      <c r="I45" s="62">
        <f t="shared" si="1"/>
        <v>0</v>
      </c>
      <c r="J45" s="63"/>
      <c r="K45" s="41"/>
      <c r="L45" s="37"/>
      <c r="M45" s="37"/>
      <c r="N45" s="37"/>
      <c r="O45" s="37"/>
      <c r="P45" s="37"/>
    </row>
    <row r="46" spans="1:16" ht="18.75" customHeight="1" x14ac:dyDescent="0.3">
      <c r="A46" s="32"/>
      <c r="B46" s="42"/>
      <c r="C46" s="33"/>
      <c r="D46" s="41"/>
      <c r="E46" s="35"/>
      <c r="F46" s="35"/>
      <c r="G46" s="35"/>
      <c r="H46" s="72"/>
      <c r="I46" s="62">
        <f t="shared" si="1"/>
        <v>0</v>
      </c>
      <c r="J46" s="63"/>
      <c r="K46" s="41"/>
      <c r="L46" s="37"/>
      <c r="M46" s="37"/>
      <c r="N46" s="37"/>
      <c r="O46" s="37"/>
      <c r="P46" s="37"/>
    </row>
    <row r="47" spans="1:16" ht="21.75" customHeight="1" x14ac:dyDescent="0.3">
      <c r="A47" s="44"/>
      <c r="B47" s="45"/>
      <c r="C47" s="46"/>
      <c r="D47" s="47"/>
      <c r="E47" s="48"/>
      <c r="F47" s="48"/>
      <c r="G47" s="48"/>
      <c r="H47" s="79"/>
      <c r="I47" s="80">
        <f t="shared" si="1"/>
        <v>0</v>
      </c>
      <c r="J47" s="63"/>
      <c r="K47" s="41"/>
      <c r="L47" s="37"/>
      <c r="M47" s="37"/>
      <c r="N47" s="37"/>
      <c r="O47" s="37"/>
      <c r="P47" s="37"/>
    </row>
    <row r="48" spans="1:16" ht="18.75" customHeight="1" x14ac:dyDescent="0.3">
      <c r="A48" s="50"/>
      <c r="B48" s="51"/>
      <c r="C48" s="51"/>
      <c r="D48" s="52" t="s">
        <v>221</v>
      </c>
      <c r="E48" s="53">
        <f>SUM(E29:E47)</f>
        <v>0</v>
      </c>
      <c r="F48" s="53">
        <f>SUM(F29:F47)</f>
        <v>0</v>
      </c>
      <c r="G48" s="53">
        <f>SUM(G29:G47)</f>
        <v>0</v>
      </c>
      <c r="H48" s="53">
        <f>SUM(H29:H47)</f>
        <v>0</v>
      </c>
      <c r="I48" s="54">
        <f t="shared" si="1"/>
        <v>0</v>
      </c>
      <c r="J48" s="55"/>
      <c r="K48" s="56"/>
      <c r="L48" s="55"/>
      <c r="M48" s="55"/>
      <c r="N48" s="37"/>
      <c r="O48" s="55"/>
      <c r="P48" s="55"/>
    </row>
    <row r="49" spans="1:17" ht="18.75" customHeight="1" x14ac:dyDescent="0.3">
      <c r="A49" s="50"/>
      <c r="B49" s="51"/>
      <c r="C49" s="51"/>
      <c r="D49" s="52" t="s">
        <v>222</v>
      </c>
      <c r="E49" s="54">
        <f>SUM(E27+E48)</f>
        <v>0</v>
      </c>
      <c r="F49" s="54">
        <f>SUM(F27+F48)</f>
        <v>0</v>
      </c>
      <c r="G49" s="54">
        <f>SUM(G27+G48)</f>
        <v>0</v>
      </c>
      <c r="H49" s="54">
        <f>SUM(H27+H48)</f>
        <v>0</v>
      </c>
      <c r="I49" s="54">
        <f t="shared" si="1"/>
        <v>0</v>
      </c>
      <c r="J49" s="55"/>
      <c r="K49" s="56"/>
      <c r="L49" s="55"/>
      <c r="M49" s="55"/>
      <c r="N49" s="37"/>
      <c r="O49" s="55"/>
      <c r="P49" s="55"/>
      <c r="Q49" s="55"/>
    </row>
    <row r="50" spans="1:17" ht="18.75" customHeight="1" x14ac:dyDescent="0.3">
      <c r="A50" s="57"/>
      <c r="B50" s="58"/>
      <c r="C50" s="58"/>
      <c r="D50" s="59" t="s">
        <v>223</v>
      </c>
      <c r="E50" s="60">
        <f>SUM(E28-E48)</f>
        <v>4492247</v>
      </c>
      <c r="F50" s="60">
        <f>SUM(F28-F48)</f>
        <v>1706300</v>
      </c>
      <c r="G50" s="60">
        <f>SUM(G28-G48)</f>
        <v>4442400</v>
      </c>
      <c r="H50" s="60">
        <f>SUM(H28-H48)</f>
        <v>3550425</v>
      </c>
      <c r="I50" s="60">
        <f t="shared" si="1"/>
        <v>14191372</v>
      </c>
      <c r="J50" s="55"/>
      <c r="K50" s="56"/>
      <c r="L50" s="55"/>
      <c r="M50" s="55"/>
      <c r="N50" s="37"/>
      <c r="O50" s="55"/>
      <c r="P50" s="55"/>
      <c r="Q50" s="55"/>
    </row>
    <row r="51" spans="1:17" ht="18.75" customHeight="1" x14ac:dyDescent="0.3">
      <c r="A51" s="61" t="s">
        <v>224</v>
      </c>
      <c r="B51" s="42"/>
      <c r="C51" s="33"/>
      <c r="D51" s="41"/>
      <c r="E51" s="35"/>
      <c r="F51" s="35"/>
      <c r="G51" s="35"/>
      <c r="H51" s="35"/>
      <c r="I51" s="36">
        <f t="shared" si="1"/>
        <v>0</v>
      </c>
      <c r="J51" s="37"/>
      <c r="K51" s="41"/>
      <c r="L51" s="37"/>
      <c r="M51" s="37"/>
      <c r="N51" s="37"/>
      <c r="O51" s="37"/>
      <c r="P51" s="37"/>
      <c r="Q51" s="37"/>
    </row>
    <row r="52" spans="1:17" ht="18.75" customHeight="1" x14ac:dyDescent="0.3">
      <c r="A52" s="32"/>
      <c r="B52" s="42"/>
      <c r="C52" s="81"/>
      <c r="D52" s="42"/>
      <c r="E52" s="35"/>
      <c r="F52" s="35"/>
      <c r="G52" s="35"/>
      <c r="H52" s="35"/>
      <c r="I52" s="35"/>
      <c r="J52" s="37"/>
      <c r="K52" s="41"/>
      <c r="L52" s="37"/>
      <c r="M52" s="37"/>
      <c r="N52" s="37"/>
      <c r="O52" s="37"/>
      <c r="P52" s="37"/>
      <c r="Q52" s="37"/>
    </row>
    <row r="53" spans="1:17" ht="18.75" customHeight="1" x14ac:dyDescent="0.3">
      <c r="A53" s="32"/>
      <c r="B53" s="42"/>
      <c r="C53" s="33"/>
      <c r="D53" s="34"/>
      <c r="E53" s="35"/>
      <c r="F53" s="35"/>
      <c r="G53" s="35"/>
      <c r="H53" s="35"/>
      <c r="I53" s="35"/>
      <c r="J53" s="37"/>
      <c r="K53" s="41"/>
      <c r="L53" s="37"/>
      <c r="M53" s="37"/>
      <c r="N53" s="37"/>
      <c r="O53" s="37"/>
      <c r="P53" s="37"/>
      <c r="Q53" s="37"/>
    </row>
    <row r="54" spans="1:17" ht="18.75" customHeight="1" x14ac:dyDescent="0.3">
      <c r="A54" s="32"/>
      <c r="B54" s="42"/>
      <c r="C54" s="33"/>
      <c r="D54" s="34"/>
      <c r="E54" s="35"/>
      <c r="F54" s="35"/>
      <c r="G54" s="35"/>
      <c r="H54" s="35"/>
      <c r="I54" s="35"/>
      <c r="J54" s="37"/>
      <c r="K54" s="41"/>
      <c r="L54" s="37"/>
      <c r="M54" s="37"/>
      <c r="N54" s="37"/>
      <c r="O54" s="37"/>
      <c r="P54" s="37"/>
      <c r="Q54" s="37"/>
    </row>
    <row r="55" spans="1:17" ht="18.75" customHeight="1" x14ac:dyDescent="0.3">
      <c r="A55" s="66"/>
      <c r="B55" s="67"/>
      <c r="C55" s="68"/>
      <c r="D55" s="69"/>
      <c r="E55" s="35"/>
      <c r="F55" s="35"/>
      <c r="G55" s="35"/>
      <c r="H55" s="35"/>
      <c r="I55" s="36"/>
      <c r="J55" s="37"/>
      <c r="K55" s="41"/>
      <c r="L55" s="37"/>
      <c r="M55" s="37"/>
      <c r="N55" s="37"/>
      <c r="O55" s="37"/>
      <c r="P55" s="37"/>
      <c r="Q55" s="37"/>
    </row>
    <row r="56" spans="1:17" ht="18.75" customHeight="1" x14ac:dyDescent="0.3">
      <c r="A56" s="66"/>
      <c r="B56" s="67"/>
      <c r="C56" s="68"/>
      <c r="D56" s="69"/>
      <c r="E56" s="35"/>
      <c r="F56" s="35"/>
      <c r="G56" s="35"/>
      <c r="H56" s="35"/>
      <c r="I56" s="36"/>
      <c r="J56" s="37"/>
      <c r="K56" s="41"/>
      <c r="L56" s="37"/>
      <c r="M56" s="37"/>
      <c r="N56" s="37"/>
      <c r="O56" s="37"/>
      <c r="P56" s="37"/>
      <c r="Q56" s="37"/>
    </row>
    <row r="57" spans="1:17" ht="18.75" customHeight="1" x14ac:dyDescent="0.3">
      <c r="A57" s="32"/>
      <c r="B57" s="42"/>
      <c r="C57" s="33"/>
      <c r="D57" s="41"/>
      <c r="E57" s="35"/>
      <c r="F57" s="35"/>
      <c r="G57" s="35"/>
      <c r="H57" s="35"/>
      <c r="I57" s="36"/>
      <c r="J57" s="37"/>
      <c r="K57" s="41"/>
      <c r="L57" s="37"/>
      <c r="M57" s="37"/>
      <c r="N57" s="37"/>
      <c r="O57" s="37"/>
      <c r="P57" s="37"/>
      <c r="Q57" s="37"/>
    </row>
    <row r="58" spans="1:17" ht="18.75" customHeight="1" x14ac:dyDescent="0.3">
      <c r="A58" s="32"/>
      <c r="B58" s="42"/>
      <c r="C58" s="33"/>
      <c r="D58" s="41"/>
      <c r="E58" s="35"/>
      <c r="F58" s="35"/>
      <c r="G58" s="35"/>
      <c r="H58" s="35"/>
      <c r="I58" s="36"/>
      <c r="J58" s="43"/>
      <c r="K58" s="41"/>
      <c r="L58" s="37"/>
      <c r="M58" s="37"/>
      <c r="N58" s="37"/>
      <c r="O58" s="37"/>
      <c r="P58" s="37"/>
      <c r="Q58" s="43"/>
    </row>
    <row r="59" spans="1:17" ht="18.75" customHeight="1" x14ac:dyDescent="0.3">
      <c r="A59" s="32"/>
      <c r="B59" s="42"/>
      <c r="C59" s="33"/>
      <c r="D59" s="41"/>
      <c r="E59" s="35"/>
      <c r="F59" s="35"/>
      <c r="G59" s="35"/>
      <c r="H59" s="35"/>
      <c r="I59" s="49"/>
      <c r="J59" s="43"/>
      <c r="K59" s="41"/>
      <c r="L59" s="37"/>
      <c r="M59" s="37"/>
      <c r="N59" s="37"/>
      <c r="O59" s="37"/>
      <c r="P59" s="37"/>
      <c r="Q59" s="43"/>
    </row>
    <row r="60" spans="1:17" ht="18.75" customHeight="1" x14ac:dyDescent="0.3">
      <c r="A60" s="82"/>
      <c r="B60" s="83"/>
      <c r="C60" s="83"/>
      <c r="D60" s="84" t="s">
        <v>225</v>
      </c>
      <c r="E60" s="53">
        <f>SUM(E51:E59)</f>
        <v>0</v>
      </c>
      <c r="F60" s="53">
        <f>SUM(F51:F59)</f>
        <v>0</v>
      </c>
      <c r="G60" s="53">
        <f>SUM(G51:G59)</f>
        <v>0</v>
      </c>
      <c r="H60" s="53">
        <f>SUM(H51:H59)</f>
        <v>0</v>
      </c>
      <c r="I60" s="53">
        <f t="shared" ref="I60:I71" si="2">SUM(E60:H60)</f>
        <v>0</v>
      </c>
      <c r="J60" s="55"/>
      <c r="K60" s="56"/>
      <c r="L60" s="55"/>
      <c r="M60" s="55"/>
      <c r="N60" s="37"/>
      <c r="O60" s="55"/>
      <c r="P60" s="55"/>
      <c r="Q60" s="55"/>
    </row>
    <row r="61" spans="1:17" ht="18.75" customHeight="1" x14ac:dyDescent="0.3">
      <c r="A61" s="50"/>
      <c r="B61" s="51"/>
      <c r="C61" s="51"/>
      <c r="D61" s="52" t="s">
        <v>226</v>
      </c>
      <c r="E61" s="54">
        <f>SUM(E49+E60)</f>
        <v>0</v>
      </c>
      <c r="F61" s="54">
        <f>SUM(F49+F60)</f>
        <v>0</v>
      </c>
      <c r="G61" s="54">
        <f>SUM(G49+G60)</f>
        <v>0</v>
      </c>
      <c r="H61" s="54">
        <f>SUM(H49+H60)</f>
        <v>0</v>
      </c>
      <c r="I61" s="54">
        <f t="shared" si="2"/>
        <v>0</v>
      </c>
      <c r="J61" s="55"/>
      <c r="K61" s="56"/>
      <c r="L61" s="55"/>
      <c r="M61" s="55"/>
      <c r="N61" s="37"/>
      <c r="O61" s="55"/>
      <c r="P61" s="55"/>
      <c r="Q61" s="55"/>
    </row>
    <row r="62" spans="1:17" ht="18.75" customHeight="1" x14ac:dyDescent="0.3">
      <c r="A62" s="57"/>
      <c r="B62" s="58"/>
      <c r="C62" s="58"/>
      <c r="D62" s="59" t="s">
        <v>227</v>
      </c>
      <c r="E62" s="60">
        <f>SUM(E50-E60)</f>
        <v>4492247</v>
      </c>
      <c r="F62" s="60">
        <f>SUM(F50-F60)</f>
        <v>1706300</v>
      </c>
      <c r="G62" s="60">
        <f>SUM(G50-G60)</f>
        <v>4442400</v>
      </c>
      <c r="H62" s="60">
        <f>SUM(H50-H60)</f>
        <v>3550425</v>
      </c>
      <c r="I62" s="60">
        <f t="shared" si="2"/>
        <v>14191372</v>
      </c>
      <c r="J62" s="55"/>
      <c r="K62" s="56"/>
      <c r="L62" s="55"/>
      <c r="M62" s="55"/>
      <c r="N62" s="37"/>
      <c r="O62" s="55"/>
      <c r="P62" s="55"/>
      <c r="Q62" s="55"/>
    </row>
    <row r="63" spans="1:17" ht="18.75" customHeight="1" x14ac:dyDescent="0.3">
      <c r="A63" s="61" t="s">
        <v>228</v>
      </c>
      <c r="B63" s="42"/>
      <c r="C63" s="33"/>
      <c r="D63" s="41"/>
      <c r="E63" s="35"/>
      <c r="F63" s="35"/>
      <c r="G63" s="35"/>
      <c r="H63" s="35"/>
      <c r="I63" s="36">
        <f t="shared" si="2"/>
        <v>0</v>
      </c>
      <c r="J63" s="37"/>
      <c r="K63" s="41"/>
      <c r="L63" s="37"/>
      <c r="M63" s="37"/>
      <c r="N63" s="37"/>
      <c r="O63" s="37"/>
      <c r="P63" s="37"/>
      <c r="Q63" s="37"/>
    </row>
    <row r="64" spans="1:17" ht="18.75" customHeight="1" x14ac:dyDescent="0.3">
      <c r="A64" s="85"/>
      <c r="B64" s="86"/>
      <c r="C64" s="33"/>
      <c r="D64" s="34"/>
      <c r="E64" s="35"/>
      <c r="F64" s="35"/>
      <c r="G64" s="35"/>
      <c r="H64" s="35"/>
      <c r="I64" s="36">
        <f t="shared" si="2"/>
        <v>0</v>
      </c>
      <c r="J64" s="87">
        <v>45329</v>
      </c>
      <c r="K64" s="88" t="s">
        <v>905</v>
      </c>
      <c r="L64" s="37">
        <v>34500</v>
      </c>
      <c r="M64" s="37"/>
      <c r="N64" s="37"/>
      <c r="O64" s="37"/>
      <c r="P64" s="37"/>
      <c r="Q64" s="37" t="s">
        <v>906</v>
      </c>
    </row>
    <row r="65" spans="1:15" ht="18.75" customHeight="1" x14ac:dyDescent="0.3">
      <c r="A65" s="85"/>
      <c r="B65" s="86"/>
      <c r="C65" s="33"/>
      <c r="D65" s="42"/>
      <c r="E65" s="35"/>
      <c r="F65" s="35"/>
      <c r="G65" s="35"/>
      <c r="H65" s="35"/>
      <c r="I65" s="36">
        <f t="shared" si="2"/>
        <v>0</v>
      </c>
      <c r="J65" s="89">
        <v>243665</v>
      </c>
      <c r="K65" s="88" t="s">
        <v>907</v>
      </c>
      <c r="L65" s="37">
        <v>64800</v>
      </c>
      <c r="M65" s="37"/>
      <c r="N65" s="37"/>
      <c r="O65" s="37" t="s">
        <v>908</v>
      </c>
    </row>
    <row r="66" spans="1:15" ht="50.25" customHeight="1" x14ac:dyDescent="0.3">
      <c r="A66" s="85"/>
      <c r="B66" s="86"/>
      <c r="C66" s="33"/>
      <c r="D66" s="34"/>
      <c r="E66" s="35"/>
      <c r="F66" s="35"/>
      <c r="G66" s="35"/>
      <c r="H66" s="35"/>
      <c r="I66" s="36">
        <f t="shared" si="2"/>
        <v>0</v>
      </c>
      <c r="J66" s="90">
        <v>243671</v>
      </c>
      <c r="K66" s="88" t="s">
        <v>909</v>
      </c>
      <c r="L66" s="37">
        <v>82955</v>
      </c>
      <c r="M66" s="37"/>
      <c r="N66" s="37"/>
      <c r="O66" s="37"/>
    </row>
    <row r="67" spans="1:15" ht="18.75" customHeight="1" x14ac:dyDescent="0.3">
      <c r="A67" s="85"/>
      <c r="B67" s="91"/>
      <c r="C67" s="92"/>
      <c r="D67" s="93"/>
      <c r="E67" s="35"/>
      <c r="F67" s="35"/>
      <c r="G67" s="35"/>
      <c r="H67" s="35"/>
      <c r="I67" s="36">
        <f t="shared" si="2"/>
        <v>0</v>
      </c>
      <c r="J67" s="94">
        <v>243671</v>
      </c>
      <c r="K67" s="95" t="s">
        <v>910</v>
      </c>
      <c r="L67" s="37">
        <v>20600</v>
      </c>
      <c r="M67" s="43">
        <v>3340.8</v>
      </c>
      <c r="N67" s="37">
        <f>L67-M67</f>
        <v>17259.2</v>
      </c>
      <c r="O67" s="37"/>
    </row>
    <row r="68" spans="1:15" ht="18.75" customHeight="1" x14ac:dyDescent="0.3">
      <c r="A68" s="85"/>
      <c r="B68" s="96"/>
      <c r="C68" s="41"/>
      <c r="D68" s="41"/>
      <c r="E68" s="35"/>
      <c r="F68" s="35"/>
      <c r="G68" s="35"/>
      <c r="H68" s="35"/>
      <c r="I68" s="36">
        <f t="shared" si="2"/>
        <v>0</v>
      </c>
      <c r="J68" s="90">
        <v>243677</v>
      </c>
      <c r="K68" s="88" t="s">
        <v>911</v>
      </c>
      <c r="L68" s="37">
        <v>16300</v>
      </c>
      <c r="M68" s="43">
        <v>6735.97</v>
      </c>
      <c r="N68" s="37">
        <f>L68-M68</f>
        <v>9564.0299999999988</v>
      </c>
      <c r="O68" s="37"/>
    </row>
    <row r="69" spans="1:15" ht="75" x14ac:dyDescent="0.3">
      <c r="A69" s="85"/>
      <c r="B69" s="96"/>
      <c r="C69" s="92"/>
      <c r="D69" s="41"/>
      <c r="E69" s="35"/>
      <c r="F69" s="35"/>
      <c r="G69" s="35"/>
      <c r="H69" s="35"/>
      <c r="I69" s="36">
        <f t="shared" si="2"/>
        <v>0</v>
      </c>
      <c r="J69" s="97" t="s">
        <v>912</v>
      </c>
      <c r="K69" s="95" t="s">
        <v>913</v>
      </c>
      <c r="L69" s="37">
        <f>64800+710600+129499.8</f>
        <v>904899.8</v>
      </c>
      <c r="M69" s="37"/>
      <c r="N69" s="37"/>
      <c r="O69" s="37"/>
    </row>
    <row r="70" spans="1:15" ht="18.75" customHeight="1" x14ac:dyDescent="0.3">
      <c r="A70" s="98"/>
      <c r="B70" s="99"/>
      <c r="C70" s="100"/>
      <c r="D70" s="101"/>
      <c r="E70" s="35"/>
      <c r="F70" s="35"/>
      <c r="G70" s="35"/>
      <c r="H70" s="35"/>
      <c r="I70" s="36">
        <f t="shared" si="2"/>
        <v>0</v>
      </c>
      <c r="J70" s="43"/>
      <c r="K70" s="41"/>
      <c r="L70" s="37"/>
      <c r="M70" s="37"/>
      <c r="N70" s="37"/>
      <c r="O70" s="37"/>
    </row>
    <row r="71" spans="1:15" ht="18.75" customHeight="1" x14ac:dyDescent="0.3">
      <c r="A71" s="98"/>
      <c r="B71" s="99"/>
      <c r="C71" s="100"/>
      <c r="D71" s="101"/>
      <c r="E71" s="35"/>
      <c r="F71" s="35"/>
      <c r="G71" s="35"/>
      <c r="H71" s="35"/>
      <c r="I71" s="36">
        <f t="shared" si="2"/>
        <v>0</v>
      </c>
      <c r="J71" s="43"/>
      <c r="K71" s="41"/>
      <c r="L71" s="37"/>
      <c r="M71" s="37"/>
      <c r="N71" s="37"/>
      <c r="O71" s="37"/>
    </row>
    <row r="72" spans="1:15" ht="18.75" customHeight="1" x14ac:dyDescent="0.3">
      <c r="A72" s="98"/>
      <c r="B72" s="99"/>
      <c r="C72" s="100"/>
      <c r="D72" s="101"/>
      <c r="E72" s="35"/>
      <c r="F72" s="35"/>
      <c r="G72" s="35"/>
      <c r="H72" s="35"/>
      <c r="I72" s="36"/>
      <c r="J72" s="43"/>
      <c r="K72" s="41"/>
      <c r="L72" s="37"/>
      <c r="M72" s="37"/>
      <c r="N72" s="37"/>
      <c r="O72" s="37"/>
    </row>
    <row r="73" spans="1:15" ht="18.75" customHeight="1" x14ac:dyDescent="0.3">
      <c r="A73" s="98"/>
      <c r="B73" s="99"/>
      <c r="C73" s="100"/>
      <c r="D73" s="101"/>
      <c r="E73" s="35"/>
      <c r="F73" s="35"/>
      <c r="G73" s="35"/>
      <c r="H73" s="35"/>
      <c r="I73" s="36"/>
      <c r="J73" s="43"/>
      <c r="K73" s="41"/>
      <c r="L73" s="37"/>
      <c r="M73" s="37"/>
      <c r="N73" s="37"/>
      <c r="O73" s="37"/>
    </row>
    <row r="74" spans="1:15" ht="18.75" customHeight="1" x14ac:dyDescent="0.3">
      <c r="A74" s="98"/>
      <c r="B74" s="99"/>
      <c r="C74" s="100"/>
      <c r="D74" s="101"/>
      <c r="E74" s="35"/>
      <c r="F74" s="35"/>
      <c r="G74" s="35"/>
      <c r="H74" s="35"/>
      <c r="I74" s="36"/>
      <c r="J74" s="43"/>
      <c r="K74" s="41"/>
      <c r="L74" s="37"/>
      <c r="M74" s="37"/>
      <c r="N74" s="37"/>
      <c r="O74" s="37"/>
    </row>
    <row r="75" spans="1:15" ht="18.75" customHeight="1" x14ac:dyDescent="0.3">
      <c r="A75" s="98"/>
      <c r="B75" s="99"/>
      <c r="C75" s="100"/>
      <c r="D75" s="101"/>
      <c r="E75" s="35"/>
      <c r="F75" s="35"/>
      <c r="G75" s="35"/>
      <c r="H75" s="35"/>
      <c r="I75" s="36"/>
      <c r="J75" s="43"/>
      <c r="K75" s="41"/>
      <c r="L75" s="37"/>
      <c r="M75" s="37"/>
      <c r="N75" s="37"/>
      <c r="O75" s="37"/>
    </row>
    <row r="76" spans="1:15" ht="21.75" customHeight="1" x14ac:dyDescent="0.3">
      <c r="A76" s="44"/>
      <c r="B76" s="45"/>
      <c r="C76" s="46"/>
      <c r="D76" s="47"/>
      <c r="E76" s="48"/>
      <c r="F76" s="48"/>
      <c r="G76" s="48"/>
      <c r="H76" s="48"/>
      <c r="I76" s="49"/>
      <c r="J76" s="37"/>
      <c r="K76" s="41"/>
      <c r="L76" s="37"/>
      <c r="M76" s="37"/>
      <c r="N76" s="37"/>
      <c r="O76" s="37"/>
    </row>
    <row r="77" spans="1:15" ht="18.75" customHeight="1" x14ac:dyDescent="0.3">
      <c r="A77" s="50"/>
      <c r="B77" s="51"/>
      <c r="C77" s="51"/>
      <c r="D77" s="52" t="s">
        <v>229</v>
      </c>
      <c r="E77" s="53">
        <f>SUM(E63:E76)</f>
        <v>0</v>
      </c>
      <c r="F77" s="53">
        <f>SUM(F63:F76)</f>
        <v>0</v>
      </c>
      <c r="G77" s="53">
        <f>SUM(G63:G76)</f>
        <v>0</v>
      </c>
      <c r="H77" s="53">
        <f>SUM(H63:H76)</f>
        <v>0</v>
      </c>
      <c r="I77" s="54">
        <f t="shared" ref="I77:I84" si="3">SUM(E77:H77)</f>
        <v>0</v>
      </c>
      <c r="J77" s="55"/>
      <c r="K77" s="56"/>
      <c r="L77" s="55"/>
      <c r="M77" s="55"/>
      <c r="N77" s="37"/>
      <c r="O77" s="55"/>
    </row>
    <row r="78" spans="1:15" ht="18.75" customHeight="1" x14ac:dyDescent="0.3">
      <c r="A78" s="50"/>
      <c r="B78" s="51"/>
      <c r="C78" s="51"/>
      <c r="D78" s="52" t="s">
        <v>230</v>
      </c>
      <c r="E78" s="54">
        <f>SUM(E61+E77)</f>
        <v>0</v>
      </c>
      <c r="F78" s="54">
        <f>SUM(F61+F77)</f>
        <v>0</v>
      </c>
      <c r="G78" s="54">
        <f>SUM(G61+G77)</f>
        <v>0</v>
      </c>
      <c r="H78" s="54">
        <f>SUM(H61+H77)</f>
        <v>0</v>
      </c>
      <c r="I78" s="54">
        <f t="shared" si="3"/>
        <v>0</v>
      </c>
      <c r="J78" s="55"/>
      <c r="K78" s="56"/>
      <c r="L78" s="55"/>
      <c r="M78" s="55"/>
      <c r="N78" s="37"/>
      <c r="O78" s="55"/>
    </row>
    <row r="79" spans="1:15" ht="18.75" customHeight="1" x14ac:dyDescent="0.3">
      <c r="A79" s="57"/>
      <c r="B79" s="58"/>
      <c r="C79" s="58"/>
      <c r="D79" s="59" t="s">
        <v>231</v>
      </c>
      <c r="E79" s="60">
        <f>SUM(E62-E77)</f>
        <v>4492247</v>
      </c>
      <c r="F79" s="60">
        <f>SUM(F62-F77)</f>
        <v>1706300</v>
      </c>
      <c r="G79" s="60">
        <f>SUM(G62-G77)</f>
        <v>4442400</v>
      </c>
      <c r="H79" s="60">
        <f>SUM(H62-H77)</f>
        <v>3550425</v>
      </c>
      <c r="I79" s="60">
        <f t="shared" si="3"/>
        <v>14191372</v>
      </c>
      <c r="J79" s="55"/>
      <c r="K79" s="56"/>
      <c r="L79" s="55"/>
      <c r="M79" s="55"/>
      <c r="N79" s="37"/>
      <c r="O79" s="55"/>
    </row>
    <row r="80" spans="1:15" ht="18.75" customHeight="1" x14ac:dyDescent="0.3">
      <c r="A80" s="61" t="s">
        <v>232</v>
      </c>
      <c r="B80" s="42"/>
      <c r="C80" s="33"/>
      <c r="D80" s="41"/>
      <c r="E80" s="35"/>
      <c r="F80" s="35"/>
      <c r="G80" s="35"/>
      <c r="H80" s="35"/>
      <c r="I80" s="36">
        <f t="shared" si="3"/>
        <v>0</v>
      </c>
      <c r="J80" s="37"/>
      <c r="K80" s="41"/>
      <c r="L80" s="37"/>
      <c r="M80" s="37"/>
      <c r="N80" s="37"/>
      <c r="O80" s="37"/>
    </row>
    <row r="81" spans="1:14" ht="115.5" customHeight="1" x14ac:dyDescent="0.3">
      <c r="A81" s="98"/>
      <c r="B81" s="102"/>
      <c r="C81" s="100"/>
      <c r="D81" s="101"/>
      <c r="E81" s="35"/>
      <c r="F81" s="35"/>
      <c r="G81" s="35"/>
      <c r="H81" s="35"/>
      <c r="I81" s="36">
        <f t="shared" si="3"/>
        <v>0</v>
      </c>
      <c r="J81" s="41" t="s">
        <v>914</v>
      </c>
      <c r="K81" s="95" t="s">
        <v>915</v>
      </c>
      <c r="L81" s="37">
        <f>19500+26400+33043.53+539.84</f>
        <v>79483.37</v>
      </c>
      <c r="M81" s="37"/>
      <c r="N81" s="37"/>
    </row>
    <row r="82" spans="1:14" ht="18.75" customHeight="1" x14ac:dyDescent="0.3">
      <c r="A82" s="98"/>
      <c r="B82" s="99"/>
      <c r="C82" s="100"/>
      <c r="D82" s="101"/>
      <c r="E82" s="35"/>
      <c r="F82" s="35"/>
      <c r="G82" s="35"/>
      <c r="H82" s="35"/>
      <c r="I82" s="36">
        <f t="shared" si="3"/>
        <v>0</v>
      </c>
      <c r="J82" s="37"/>
      <c r="K82" s="41"/>
      <c r="L82" s="37"/>
      <c r="M82" s="37"/>
      <c r="N82" s="37"/>
    </row>
    <row r="83" spans="1:14" ht="18.75" customHeight="1" x14ac:dyDescent="0.3">
      <c r="A83" s="32"/>
      <c r="B83" s="38"/>
      <c r="C83" s="39"/>
      <c r="D83" s="40"/>
      <c r="E83" s="35"/>
      <c r="F83" s="35"/>
      <c r="G83" s="35"/>
      <c r="H83" s="35"/>
      <c r="I83" s="36">
        <f t="shared" si="3"/>
        <v>0</v>
      </c>
      <c r="J83" s="43"/>
      <c r="K83" s="41"/>
      <c r="L83" s="37"/>
      <c r="M83" s="37"/>
      <c r="N83" s="37"/>
    </row>
    <row r="84" spans="1:14" ht="18.75" customHeight="1" x14ac:dyDescent="0.3">
      <c r="A84" s="32"/>
      <c r="B84" s="65"/>
      <c r="C84" s="33"/>
      <c r="D84" s="34"/>
      <c r="E84" s="35"/>
      <c r="F84" s="35"/>
      <c r="G84" s="35"/>
      <c r="H84" s="35"/>
      <c r="I84" s="36">
        <f t="shared" si="3"/>
        <v>0</v>
      </c>
      <c r="J84" s="63"/>
      <c r="K84" s="34"/>
      <c r="L84" s="37"/>
      <c r="M84" s="37"/>
      <c r="N84" s="37"/>
    </row>
    <row r="85" spans="1:14" ht="18.75" customHeight="1" x14ac:dyDescent="0.3">
      <c r="A85" s="32"/>
      <c r="B85" s="65"/>
      <c r="C85" s="33"/>
      <c r="D85" s="34"/>
      <c r="E85" s="35"/>
      <c r="F85" s="35"/>
      <c r="G85" s="35"/>
      <c r="H85" s="35"/>
      <c r="I85" s="36"/>
      <c r="J85" s="63"/>
      <c r="K85" s="34"/>
      <c r="L85" s="37"/>
      <c r="M85" s="37"/>
      <c r="N85" s="37"/>
    </row>
    <row r="86" spans="1:14" ht="18.75" customHeight="1" x14ac:dyDescent="0.3">
      <c r="A86" s="32"/>
      <c r="B86" s="103"/>
      <c r="C86" s="33"/>
      <c r="D86" s="95"/>
      <c r="E86" s="35"/>
      <c r="F86" s="35"/>
      <c r="G86" s="35"/>
      <c r="H86" s="35"/>
      <c r="I86" s="36">
        <f t="shared" ref="I86:I121" si="4">SUM(E86:H86)</f>
        <v>0</v>
      </c>
      <c r="J86" s="63">
        <v>243699</v>
      </c>
      <c r="K86" s="95" t="s">
        <v>916</v>
      </c>
      <c r="L86" s="37">
        <v>61510</v>
      </c>
      <c r="M86" s="37"/>
      <c r="N86" s="37">
        <f>L86-M86</f>
        <v>61510</v>
      </c>
    </row>
    <row r="87" spans="1:14" ht="18.75" customHeight="1" x14ac:dyDescent="0.3">
      <c r="A87" s="32"/>
      <c r="B87" s="65"/>
      <c r="C87" s="33"/>
      <c r="D87" s="95"/>
      <c r="E87" s="35"/>
      <c r="F87" s="35"/>
      <c r="G87" s="35"/>
      <c r="H87" s="35"/>
      <c r="I87" s="36">
        <f t="shared" si="4"/>
        <v>0</v>
      </c>
      <c r="J87" s="63">
        <v>243699</v>
      </c>
      <c r="K87" s="95" t="s">
        <v>917</v>
      </c>
      <c r="L87" s="37">
        <v>64158.06</v>
      </c>
      <c r="M87" s="37"/>
      <c r="N87" s="37"/>
    </row>
    <row r="88" spans="1:14" ht="18.75" customHeight="1" x14ac:dyDescent="0.3">
      <c r="A88" s="32"/>
      <c r="B88" s="65"/>
      <c r="C88" s="33"/>
      <c r="D88" s="34"/>
      <c r="E88" s="35"/>
      <c r="F88" s="35"/>
      <c r="G88" s="35"/>
      <c r="H88" s="35"/>
      <c r="I88" s="36">
        <f t="shared" si="4"/>
        <v>0</v>
      </c>
      <c r="J88" s="63"/>
      <c r="K88" s="34"/>
      <c r="L88" s="37"/>
      <c r="M88" s="37"/>
      <c r="N88" s="37"/>
    </row>
    <row r="89" spans="1:14" ht="18.75" customHeight="1" x14ac:dyDescent="0.3">
      <c r="A89" s="32"/>
      <c r="B89" s="65"/>
      <c r="C89" s="33"/>
      <c r="D89" s="93"/>
      <c r="E89" s="35"/>
      <c r="F89" s="35"/>
      <c r="G89" s="35"/>
      <c r="H89" s="35"/>
      <c r="I89" s="36">
        <f t="shared" si="4"/>
        <v>0</v>
      </c>
      <c r="J89" s="43"/>
      <c r="K89" s="34"/>
      <c r="L89" s="37"/>
      <c r="M89" s="37"/>
      <c r="N89" s="37"/>
    </row>
    <row r="90" spans="1:14" ht="18.75" customHeight="1" x14ac:dyDescent="0.3">
      <c r="A90" s="32"/>
      <c r="B90" s="86"/>
      <c r="C90" s="33"/>
      <c r="D90" s="88"/>
      <c r="E90" s="35"/>
      <c r="F90" s="35"/>
      <c r="G90" s="35"/>
      <c r="H90" s="35"/>
      <c r="I90" s="36">
        <f t="shared" si="4"/>
        <v>0</v>
      </c>
      <c r="J90" s="63">
        <v>243702</v>
      </c>
      <c r="K90" s="88" t="s">
        <v>918</v>
      </c>
      <c r="L90" s="37">
        <v>36885</v>
      </c>
      <c r="M90" s="37"/>
      <c r="N90" s="37"/>
    </row>
    <row r="91" spans="1:14" ht="18.75" customHeight="1" x14ac:dyDescent="0.3">
      <c r="A91" s="32"/>
      <c r="B91" s="42"/>
      <c r="C91" s="33"/>
      <c r="D91" s="88"/>
      <c r="E91" s="35"/>
      <c r="F91" s="35"/>
      <c r="G91" s="35"/>
      <c r="H91" s="35"/>
      <c r="I91" s="36">
        <f t="shared" si="4"/>
        <v>0</v>
      </c>
      <c r="J91" s="63">
        <v>243702</v>
      </c>
      <c r="K91" s="88" t="s">
        <v>919</v>
      </c>
      <c r="L91" s="37">
        <v>29649.74</v>
      </c>
      <c r="M91" s="37"/>
      <c r="N91" s="37"/>
    </row>
    <row r="92" spans="1:14" ht="18.75" customHeight="1" x14ac:dyDescent="0.3">
      <c r="A92" s="32"/>
      <c r="B92" s="42"/>
      <c r="C92" s="33"/>
      <c r="D92" s="41"/>
      <c r="E92" s="35"/>
      <c r="F92" s="35"/>
      <c r="G92" s="35"/>
      <c r="H92" s="35"/>
      <c r="I92" s="36">
        <f t="shared" si="4"/>
        <v>0</v>
      </c>
      <c r="J92" s="43"/>
      <c r="K92" s="41"/>
      <c r="L92" s="37"/>
      <c r="M92" s="37"/>
      <c r="N92" s="37"/>
    </row>
    <row r="93" spans="1:14" ht="18.75" customHeight="1" x14ac:dyDescent="0.3">
      <c r="A93" s="32"/>
      <c r="B93" s="42"/>
      <c r="C93" s="33"/>
      <c r="D93" s="34"/>
      <c r="E93" s="35"/>
      <c r="F93" s="35"/>
      <c r="G93" s="35"/>
      <c r="H93" s="35"/>
      <c r="I93" s="36">
        <f t="shared" si="4"/>
        <v>0</v>
      </c>
      <c r="J93" s="43"/>
      <c r="K93" s="41"/>
      <c r="L93" s="37"/>
      <c r="M93" s="37"/>
      <c r="N93" s="37"/>
    </row>
    <row r="94" spans="1:14" ht="18.75" customHeight="1" x14ac:dyDescent="0.3">
      <c r="A94" s="32"/>
      <c r="B94" s="42"/>
      <c r="C94" s="33"/>
      <c r="D94" s="34"/>
      <c r="E94" s="35"/>
      <c r="F94" s="35"/>
      <c r="G94" s="35"/>
      <c r="H94" s="35"/>
      <c r="I94" s="36">
        <f t="shared" si="4"/>
        <v>0</v>
      </c>
      <c r="J94" s="43"/>
      <c r="K94" s="34"/>
      <c r="L94" s="37"/>
      <c r="M94" s="37"/>
      <c r="N94" s="37"/>
    </row>
    <row r="95" spans="1:14" ht="18.75" customHeight="1" x14ac:dyDescent="0.3">
      <c r="A95" s="32"/>
      <c r="B95" s="86"/>
      <c r="C95" s="33"/>
      <c r="D95" s="95"/>
      <c r="E95" s="35"/>
      <c r="F95" s="35"/>
      <c r="G95" s="35"/>
      <c r="H95" s="35"/>
      <c r="I95" s="36">
        <f t="shared" si="4"/>
        <v>0</v>
      </c>
      <c r="J95" s="36"/>
      <c r="K95" s="104">
        <v>243704</v>
      </c>
      <c r="L95" s="105" t="s">
        <v>920</v>
      </c>
      <c r="M95" s="106">
        <v>20495</v>
      </c>
      <c r="N95" s="37"/>
    </row>
    <row r="96" spans="1:14" ht="18.75" customHeight="1" x14ac:dyDescent="0.3">
      <c r="A96" s="32"/>
      <c r="B96" s="42"/>
      <c r="C96" s="33"/>
      <c r="D96" s="88"/>
      <c r="E96" s="35"/>
      <c r="F96" s="35"/>
      <c r="G96" s="35"/>
      <c r="H96" s="35"/>
      <c r="I96" s="36">
        <f t="shared" si="4"/>
        <v>0</v>
      </c>
      <c r="J96" s="36"/>
      <c r="K96" s="63">
        <v>243704</v>
      </c>
      <c r="L96" s="95" t="s">
        <v>921</v>
      </c>
      <c r="M96" s="37">
        <v>73232.009999999995</v>
      </c>
      <c r="N96" s="37"/>
    </row>
    <row r="97" spans="1:14" ht="18.75" customHeight="1" x14ac:dyDescent="0.3">
      <c r="A97" s="32"/>
      <c r="B97" s="42"/>
      <c r="C97" s="33"/>
      <c r="D97" s="95"/>
      <c r="E97" s="35"/>
      <c r="F97" s="35"/>
      <c r="G97" s="35"/>
      <c r="H97" s="35"/>
      <c r="I97" s="36">
        <f t="shared" si="4"/>
        <v>0</v>
      </c>
      <c r="J97" s="36"/>
      <c r="K97" s="63">
        <v>243704</v>
      </c>
      <c r="L97" s="95" t="s">
        <v>922</v>
      </c>
      <c r="M97" s="37">
        <v>7300</v>
      </c>
      <c r="N97" s="37"/>
    </row>
    <row r="98" spans="1:14" ht="18.75" customHeight="1" x14ac:dyDescent="0.3">
      <c r="A98" s="32"/>
      <c r="B98" s="42"/>
      <c r="C98" s="33"/>
      <c r="D98" s="34"/>
      <c r="E98" s="35"/>
      <c r="F98" s="35"/>
      <c r="G98" s="35"/>
      <c r="H98" s="35"/>
      <c r="I98" s="36">
        <f t="shared" si="4"/>
        <v>0</v>
      </c>
      <c r="J98" s="36"/>
      <c r="K98" s="43"/>
      <c r="L98" s="34"/>
      <c r="M98" s="37"/>
      <c r="N98" s="37"/>
    </row>
    <row r="99" spans="1:14" ht="18.75" customHeight="1" x14ac:dyDescent="0.3">
      <c r="A99" s="32"/>
      <c r="B99" s="42"/>
      <c r="C99" s="33"/>
      <c r="D99" s="34"/>
      <c r="E99" s="35"/>
      <c r="F99" s="35"/>
      <c r="G99" s="35"/>
      <c r="H99" s="35"/>
      <c r="I99" s="36">
        <f t="shared" si="4"/>
        <v>0</v>
      </c>
      <c r="J99" s="36"/>
      <c r="K99" s="43"/>
      <c r="L99" s="34"/>
      <c r="M99" s="37"/>
      <c r="N99" s="37"/>
    </row>
    <row r="100" spans="1:14" ht="18.75" customHeight="1" x14ac:dyDescent="0.3">
      <c r="A100" s="32"/>
      <c r="B100" s="42"/>
      <c r="C100" s="33"/>
      <c r="D100" s="34"/>
      <c r="E100" s="35"/>
      <c r="F100" s="35"/>
      <c r="G100" s="35"/>
      <c r="H100" s="35"/>
      <c r="I100" s="36">
        <f t="shared" si="4"/>
        <v>0</v>
      </c>
      <c r="J100" s="36"/>
      <c r="K100" s="43"/>
      <c r="L100" s="34"/>
      <c r="M100" s="37"/>
      <c r="N100" s="37"/>
    </row>
    <row r="101" spans="1:14" ht="18.75" customHeight="1" x14ac:dyDescent="0.3">
      <c r="A101" s="32"/>
      <c r="B101" s="42"/>
      <c r="C101" s="33"/>
      <c r="D101" s="34"/>
      <c r="E101" s="35"/>
      <c r="F101" s="35"/>
      <c r="G101" s="35"/>
      <c r="H101" s="35"/>
      <c r="I101" s="36">
        <f t="shared" si="4"/>
        <v>0</v>
      </c>
      <c r="J101" s="36"/>
      <c r="K101" s="43"/>
      <c r="L101" s="34"/>
      <c r="M101" s="37"/>
      <c r="N101" s="37"/>
    </row>
    <row r="102" spans="1:14" ht="18.75" customHeight="1" x14ac:dyDescent="0.3">
      <c r="A102" s="32"/>
      <c r="B102" s="86"/>
      <c r="C102" s="33"/>
      <c r="D102" s="95"/>
      <c r="E102" s="35"/>
      <c r="F102" s="35"/>
      <c r="G102" s="35"/>
      <c r="H102" s="35"/>
      <c r="I102" s="36">
        <f t="shared" si="4"/>
        <v>0</v>
      </c>
      <c r="J102" s="36"/>
      <c r="K102" s="107">
        <v>243704</v>
      </c>
      <c r="L102" s="95" t="s">
        <v>923</v>
      </c>
      <c r="M102" s="37">
        <v>54365</v>
      </c>
      <c r="N102" s="37"/>
    </row>
    <row r="103" spans="1:14" ht="18.75" customHeight="1" x14ac:dyDescent="0.3">
      <c r="A103" s="32"/>
      <c r="B103" s="42"/>
      <c r="C103" s="33"/>
      <c r="D103" s="95"/>
      <c r="E103" s="35"/>
      <c r="F103" s="35"/>
      <c r="G103" s="35"/>
      <c r="H103" s="35"/>
      <c r="I103" s="36">
        <f t="shared" si="4"/>
        <v>0</v>
      </c>
      <c r="J103" s="36"/>
      <c r="K103" s="107">
        <v>243704</v>
      </c>
      <c r="L103" s="95" t="s">
        <v>924</v>
      </c>
      <c r="M103" s="37">
        <v>47981.42</v>
      </c>
      <c r="N103" s="37"/>
    </row>
    <row r="104" spans="1:14" ht="18.75" customHeight="1" x14ac:dyDescent="0.3">
      <c r="A104" s="32"/>
      <c r="B104" s="42"/>
      <c r="C104" s="33"/>
      <c r="D104" s="34"/>
      <c r="E104" s="35"/>
      <c r="F104" s="35"/>
      <c r="G104" s="35"/>
      <c r="H104" s="35"/>
      <c r="I104" s="36">
        <f t="shared" si="4"/>
        <v>0</v>
      </c>
      <c r="J104" s="36"/>
      <c r="K104" s="43"/>
      <c r="L104" s="34"/>
      <c r="M104" s="37"/>
      <c r="N104" s="37"/>
    </row>
    <row r="105" spans="1:14" ht="18.75" customHeight="1" x14ac:dyDescent="0.3">
      <c r="A105" s="32"/>
      <c r="B105" s="42"/>
      <c r="C105" s="33"/>
      <c r="D105" s="34"/>
      <c r="E105" s="35"/>
      <c r="F105" s="35"/>
      <c r="G105" s="35"/>
      <c r="H105" s="35"/>
      <c r="I105" s="36">
        <f t="shared" si="4"/>
        <v>0</v>
      </c>
      <c r="J105" s="36"/>
      <c r="K105" s="43"/>
      <c r="L105" s="34"/>
      <c r="M105" s="37"/>
      <c r="N105" s="37"/>
    </row>
    <row r="106" spans="1:14" ht="18.75" customHeight="1" x14ac:dyDescent="0.3">
      <c r="A106" s="32"/>
      <c r="B106" s="42"/>
      <c r="C106" s="33"/>
      <c r="D106" s="34"/>
      <c r="E106" s="35"/>
      <c r="F106" s="35"/>
      <c r="G106" s="35"/>
      <c r="H106" s="35"/>
      <c r="I106" s="36">
        <f t="shared" si="4"/>
        <v>0</v>
      </c>
      <c r="J106" s="36"/>
      <c r="K106" s="43"/>
      <c r="L106" s="34"/>
      <c r="M106" s="37"/>
      <c r="N106" s="37"/>
    </row>
    <row r="107" spans="1:14" ht="18.75" customHeight="1" x14ac:dyDescent="0.3">
      <c r="A107" s="32"/>
      <c r="B107" s="42"/>
      <c r="C107" s="33"/>
      <c r="D107" s="34"/>
      <c r="E107" s="35"/>
      <c r="F107" s="35"/>
      <c r="G107" s="35"/>
      <c r="H107" s="35"/>
      <c r="I107" s="36">
        <f t="shared" si="4"/>
        <v>0</v>
      </c>
      <c r="J107" s="36"/>
      <c r="K107" s="43"/>
      <c r="L107" s="34"/>
      <c r="M107" s="37"/>
      <c r="N107" s="37"/>
    </row>
    <row r="108" spans="1:14" ht="18.75" customHeight="1" x14ac:dyDescent="0.3">
      <c r="A108" s="32"/>
      <c r="B108" s="86"/>
      <c r="C108" s="33"/>
      <c r="D108" s="95"/>
      <c r="E108" s="35"/>
      <c r="F108" s="35"/>
      <c r="G108" s="35"/>
      <c r="H108" s="35"/>
      <c r="I108" s="36">
        <f t="shared" si="4"/>
        <v>0</v>
      </c>
      <c r="J108" s="36"/>
      <c r="K108" s="108">
        <v>243705</v>
      </c>
      <c r="L108" s="95" t="s">
        <v>925</v>
      </c>
      <c r="M108" s="37">
        <v>614000</v>
      </c>
      <c r="N108" s="37"/>
    </row>
    <row r="109" spans="1:14" ht="18.75" customHeight="1" x14ac:dyDescent="0.3">
      <c r="A109" s="32"/>
      <c r="B109" s="42"/>
      <c r="C109" s="33"/>
      <c r="D109" s="42"/>
      <c r="E109" s="35"/>
      <c r="F109" s="35"/>
      <c r="G109" s="35"/>
      <c r="H109" s="35"/>
      <c r="I109" s="36">
        <f t="shared" si="4"/>
        <v>0</v>
      </c>
      <c r="J109" s="36"/>
      <c r="K109" s="43"/>
      <c r="L109" s="34"/>
      <c r="M109" s="37"/>
      <c r="N109" s="37"/>
    </row>
    <row r="110" spans="1:14" ht="18.75" customHeight="1" x14ac:dyDescent="0.3">
      <c r="A110" s="32"/>
      <c r="B110" s="42"/>
      <c r="C110" s="33"/>
      <c r="D110" s="41"/>
      <c r="E110" s="35"/>
      <c r="F110" s="35"/>
      <c r="G110" s="35"/>
      <c r="H110" s="35"/>
      <c r="I110" s="36">
        <f t="shared" si="4"/>
        <v>0</v>
      </c>
      <c r="J110" s="43"/>
      <c r="K110" s="41"/>
      <c r="L110" s="37"/>
      <c r="M110" s="37"/>
      <c r="N110" s="37"/>
    </row>
    <row r="111" spans="1:14" ht="18.75" customHeight="1" x14ac:dyDescent="0.3">
      <c r="A111" s="32"/>
      <c r="B111" s="42"/>
      <c r="C111" s="33"/>
      <c r="D111" s="40"/>
      <c r="E111" s="35"/>
      <c r="F111" s="35"/>
      <c r="G111" s="35"/>
      <c r="H111" s="35"/>
      <c r="I111" s="36">
        <f t="shared" si="4"/>
        <v>0</v>
      </c>
      <c r="J111" s="43"/>
      <c r="K111" s="41"/>
      <c r="L111" s="37"/>
      <c r="M111" s="37"/>
      <c r="N111" s="37"/>
    </row>
    <row r="112" spans="1:14" ht="18.75" customHeight="1" x14ac:dyDescent="0.3">
      <c r="A112" s="32"/>
      <c r="B112" s="42"/>
      <c r="C112" s="33"/>
      <c r="D112" s="40"/>
      <c r="E112" s="35"/>
      <c r="F112" s="35"/>
      <c r="G112" s="35"/>
      <c r="H112" s="35"/>
      <c r="I112" s="36">
        <f t="shared" si="4"/>
        <v>0</v>
      </c>
      <c r="J112" s="43"/>
      <c r="K112" s="41"/>
      <c r="L112" s="37"/>
      <c r="M112" s="37"/>
      <c r="N112" s="37"/>
    </row>
    <row r="113" spans="1:14" ht="18.75" customHeight="1" x14ac:dyDescent="0.3">
      <c r="A113" s="98"/>
      <c r="B113" s="99"/>
      <c r="C113" s="100"/>
      <c r="D113" s="101"/>
      <c r="E113" s="35"/>
      <c r="F113" s="35"/>
      <c r="G113" s="35"/>
      <c r="H113" s="35"/>
      <c r="I113" s="36">
        <f t="shared" si="4"/>
        <v>0</v>
      </c>
      <c r="J113" s="37"/>
      <c r="K113" s="41"/>
      <c r="L113" s="37"/>
      <c r="M113" s="37"/>
      <c r="N113" s="37"/>
    </row>
    <row r="114" spans="1:14" ht="18.75" customHeight="1" x14ac:dyDescent="0.3">
      <c r="A114" s="32"/>
      <c r="B114" s="38"/>
      <c r="C114" s="39"/>
      <c r="D114" s="40"/>
      <c r="E114" s="35"/>
      <c r="F114" s="35"/>
      <c r="G114" s="35"/>
      <c r="H114" s="35"/>
      <c r="I114" s="36">
        <f t="shared" si="4"/>
        <v>0</v>
      </c>
      <c r="J114" s="43"/>
      <c r="K114" s="41"/>
      <c r="L114" s="37"/>
      <c r="M114" s="37"/>
      <c r="N114" s="37"/>
    </row>
    <row r="115" spans="1:14" ht="18.75" customHeight="1" x14ac:dyDescent="0.3">
      <c r="A115" s="32"/>
      <c r="B115" s="65"/>
      <c r="C115" s="33"/>
      <c r="D115" s="34"/>
      <c r="E115" s="35"/>
      <c r="F115" s="35"/>
      <c r="G115" s="35"/>
      <c r="H115" s="35"/>
      <c r="I115" s="36">
        <f t="shared" si="4"/>
        <v>0</v>
      </c>
      <c r="J115" s="37"/>
      <c r="K115" s="34"/>
      <c r="L115" s="37"/>
      <c r="M115" s="37"/>
      <c r="N115" s="37"/>
    </row>
    <row r="116" spans="1:14" ht="18.75" customHeight="1" x14ac:dyDescent="0.3">
      <c r="A116" s="32"/>
      <c r="B116" s="65"/>
      <c r="C116" s="33"/>
      <c r="D116" s="34"/>
      <c r="E116" s="35"/>
      <c r="F116" s="35"/>
      <c r="G116" s="35"/>
      <c r="H116" s="35"/>
      <c r="I116" s="36">
        <f t="shared" si="4"/>
        <v>0</v>
      </c>
      <c r="J116" s="43"/>
      <c r="K116" s="34"/>
      <c r="L116" s="37"/>
      <c r="M116" s="37"/>
      <c r="N116" s="37"/>
    </row>
    <row r="117" spans="1:14" ht="18.75" customHeight="1" x14ac:dyDescent="0.3">
      <c r="A117" s="32"/>
      <c r="B117" s="65"/>
      <c r="C117" s="33"/>
      <c r="D117" s="34"/>
      <c r="E117" s="35"/>
      <c r="F117" s="35"/>
      <c r="G117" s="35"/>
      <c r="H117" s="35"/>
      <c r="I117" s="36">
        <f t="shared" si="4"/>
        <v>0</v>
      </c>
      <c r="J117" s="43"/>
      <c r="K117" s="34"/>
      <c r="L117" s="37"/>
      <c r="M117" s="37"/>
      <c r="N117" s="37"/>
    </row>
    <row r="118" spans="1:14" ht="18.75" customHeight="1" x14ac:dyDescent="0.3">
      <c r="A118" s="32"/>
      <c r="B118" s="65"/>
      <c r="C118" s="33"/>
      <c r="D118" s="93"/>
      <c r="E118" s="35"/>
      <c r="F118" s="35"/>
      <c r="G118" s="35"/>
      <c r="H118" s="35"/>
      <c r="I118" s="36">
        <f t="shared" si="4"/>
        <v>0</v>
      </c>
      <c r="J118" s="43"/>
      <c r="K118" s="34"/>
      <c r="L118" s="37"/>
      <c r="M118" s="37"/>
      <c r="N118" s="37"/>
    </row>
    <row r="119" spans="1:14" ht="18.75" customHeight="1" x14ac:dyDescent="0.3">
      <c r="A119" s="32"/>
      <c r="B119" s="42"/>
      <c r="C119" s="33"/>
      <c r="D119" s="101"/>
      <c r="E119" s="35"/>
      <c r="F119" s="35"/>
      <c r="G119" s="35"/>
      <c r="H119" s="35"/>
      <c r="I119" s="36">
        <f t="shared" si="4"/>
        <v>0</v>
      </c>
      <c r="J119" s="43"/>
      <c r="K119" s="41"/>
      <c r="L119" s="37"/>
      <c r="M119" s="37"/>
      <c r="N119" s="37"/>
    </row>
    <row r="120" spans="1:14" ht="18.75" customHeight="1" x14ac:dyDescent="0.3">
      <c r="A120" s="32"/>
      <c r="B120" s="42"/>
      <c r="C120" s="33"/>
      <c r="D120" s="101"/>
      <c r="E120" s="35"/>
      <c r="F120" s="35"/>
      <c r="G120" s="35"/>
      <c r="H120" s="35"/>
      <c r="I120" s="36">
        <f t="shared" si="4"/>
        <v>0</v>
      </c>
      <c r="J120" s="43"/>
      <c r="K120" s="41"/>
      <c r="L120" s="37"/>
      <c r="M120" s="37"/>
      <c r="N120" s="37"/>
    </row>
    <row r="121" spans="1:14" ht="18.75" customHeight="1" x14ac:dyDescent="0.3">
      <c r="A121" s="32"/>
      <c r="B121" s="42"/>
      <c r="C121" s="33"/>
      <c r="D121" s="34"/>
      <c r="E121" s="35"/>
      <c r="F121" s="35"/>
      <c r="G121" s="35"/>
      <c r="H121" s="35"/>
      <c r="I121" s="36">
        <f t="shared" si="4"/>
        <v>0</v>
      </c>
      <c r="J121" s="43"/>
      <c r="K121" s="41"/>
      <c r="L121" s="37"/>
      <c r="M121" s="37"/>
      <c r="N121" s="37"/>
    </row>
    <row r="122" spans="1:14" ht="18.75" customHeight="1" x14ac:dyDescent="0.3">
      <c r="A122" s="32"/>
      <c r="B122" s="42"/>
      <c r="C122" s="33"/>
      <c r="D122" s="34"/>
      <c r="E122" s="35"/>
      <c r="F122" s="35"/>
      <c r="G122" s="35"/>
      <c r="H122" s="35"/>
      <c r="I122" s="36"/>
      <c r="J122" s="43"/>
      <c r="K122" s="34"/>
      <c r="L122" s="37"/>
      <c r="M122" s="37"/>
      <c r="N122" s="37"/>
    </row>
    <row r="123" spans="1:14" ht="18.75" customHeight="1" x14ac:dyDescent="0.3">
      <c r="A123" s="32"/>
      <c r="B123" s="42"/>
      <c r="C123" s="33"/>
      <c r="D123" s="41"/>
      <c r="E123" s="35"/>
      <c r="F123" s="35"/>
      <c r="G123" s="35"/>
      <c r="H123" s="35"/>
      <c r="I123" s="36"/>
      <c r="J123" s="43"/>
      <c r="K123" s="41"/>
      <c r="L123" s="37"/>
      <c r="M123" s="37"/>
      <c r="N123" s="37"/>
    </row>
    <row r="124" spans="1:14" ht="18.75" customHeight="1" x14ac:dyDescent="0.3">
      <c r="A124" s="32"/>
      <c r="B124" s="42"/>
      <c r="C124" s="33"/>
      <c r="D124" s="41"/>
      <c r="E124" s="35"/>
      <c r="F124" s="35"/>
      <c r="G124" s="35"/>
      <c r="H124" s="35"/>
      <c r="I124" s="36"/>
      <c r="J124" s="43"/>
      <c r="K124" s="41"/>
      <c r="L124" s="37"/>
      <c r="M124" s="37"/>
      <c r="N124" s="37"/>
    </row>
    <row r="125" spans="1:14" ht="21.75" customHeight="1" x14ac:dyDescent="0.3">
      <c r="A125" s="44"/>
      <c r="B125" s="45"/>
      <c r="C125" s="46"/>
      <c r="D125" s="47"/>
      <c r="E125" s="48"/>
      <c r="F125" s="48"/>
      <c r="G125" s="48"/>
      <c r="H125" s="48"/>
      <c r="I125" s="49"/>
      <c r="J125" s="37"/>
      <c r="K125" s="41"/>
      <c r="L125" s="37"/>
      <c r="M125" s="37"/>
      <c r="N125" s="37"/>
    </row>
    <row r="126" spans="1:14" ht="18.75" customHeight="1" x14ac:dyDescent="0.3">
      <c r="A126" s="50"/>
      <c r="B126" s="51"/>
      <c r="C126" s="51"/>
      <c r="D126" s="52" t="s">
        <v>233</v>
      </c>
      <c r="E126" s="53">
        <f>SUM(E80:E125)</f>
        <v>0</v>
      </c>
      <c r="F126" s="53">
        <f>SUM(F80:F125)</f>
        <v>0</v>
      </c>
      <c r="G126" s="53">
        <f>SUM(G80:G125)</f>
        <v>0</v>
      </c>
      <c r="H126" s="53">
        <f>SUM(H80:H125)</f>
        <v>0</v>
      </c>
      <c r="I126" s="54">
        <f>SUM(E126:H126)</f>
        <v>0</v>
      </c>
      <c r="J126" s="55"/>
      <c r="K126" s="56"/>
      <c r="L126" s="55"/>
      <c r="M126" s="55"/>
      <c r="N126" s="37"/>
    </row>
    <row r="127" spans="1:14" ht="18.75" customHeight="1" x14ac:dyDescent="0.3">
      <c r="A127" s="50"/>
      <c r="B127" s="51"/>
      <c r="C127" s="51"/>
      <c r="D127" s="52" t="s">
        <v>234</v>
      </c>
      <c r="E127" s="54">
        <f>SUM(E78+E126)</f>
        <v>0</v>
      </c>
      <c r="F127" s="54">
        <f>SUM(F78+F126)</f>
        <v>0</v>
      </c>
      <c r="G127" s="54">
        <f>SUM(G78+G126)</f>
        <v>0</v>
      </c>
      <c r="H127" s="54">
        <f>SUM(H78+H126)</f>
        <v>0</v>
      </c>
      <c r="I127" s="54">
        <f>SUM(E127:H127)</f>
        <v>0</v>
      </c>
      <c r="J127" s="55"/>
      <c r="K127" s="56"/>
      <c r="L127" s="55"/>
      <c r="M127" s="55"/>
      <c r="N127" s="37"/>
    </row>
    <row r="128" spans="1:14" ht="18.75" customHeight="1" x14ac:dyDescent="0.3">
      <c r="A128" s="57"/>
      <c r="B128" s="58"/>
      <c r="C128" s="58"/>
      <c r="D128" s="59" t="s">
        <v>235</v>
      </c>
      <c r="E128" s="60">
        <f>SUM(E79-E126)</f>
        <v>4492247</v>
      </c>
      <c r="F128" s="60">
        <f>SUM(F79-F126)</f>
        <v>1706300</v>
      </c>
      <c r="G128" s="60">
        <f>SUM(G79-G126)</f>
        <v>4442400</v>
      </c>
      <c r="H128" s="60">
        <f>SUM(H79-H126)</f>
        <v>3550425</v>
      </c>
      <c r="I128" s="60">
        <f>SUM(E128:H128)</f>
        <v>14191372</v>
      </c>
      <c r="J128" s="55"/>
      <c r="K128" s="56"/>
      <c r="L128" s="55"/>
      <c r="M128" s="55"/>
      <c r="N128" s="37"/>
    </row>
    <row r="129" spans="1:12" ht="18.75" customHeight="1" x14ac:dyDescent="0.3">
      <c r="A129" s="61" t="s">
        <v>236</v>
      </c>
      <c r="B129" s="42"/>
      <c r="C129" s="33"/>
      <c r="D129" s="41"/>
      <c r="E129" s="35"/>
      <c r="F129" s="35"/>
      <c r="G129" s="35"/>
      <c r="H129" s="35"/>
      <c r="I129" s="36">
        <f>SUM(E129:H129)</f>
        <v>0</v>
      </c>
      <c r="J129" s="37"/>
      <c r="K129" s="41"/>
      <c r="L129" s="37"/>
    </row>
    <row r="130" spans="1:12" ht="18.75" customHeight="1" x14ac:dyDescent="0.3">
      <c r="A130" s="32"/>
      <c r="B130" s="105"/>
      <c r="C130" s="41"/>
      <c r="D130" s="41"/>
      <c r="E130" s="35"/>
      <c r="F130" s="35"/>
      <c r="G130" s="35"/>
      <c r="H130" s="35"/>
      <c r="I130" s="36"/>
      <c r="J130" s="63">
        <v>24565</v>
      </c>
      <c r="K130" s="95" t="s">
        <v>926</v>
      </c>
      <c r="L130" s="37">
        <v>3490</v>
      </c>
    </row>
    <row r="131" spans="1:12" ht="18.75" customHeight="1" x14ac:dyDescent="0.3">
      <c r="A131" s="32"/>
      <c r="B131" s="105"/>
      <c r="C131" s="109"/>
      <c r="D131" s="110"/>
      <c r="E131" s="35"/>
      <c r="F131" s="35"/>
      <c r="G131" s="35"/>
      <c r="H131" s="35"/>
      <c r="I131" s="36"/>
      <c r="J131" s="111">
        <v>45386</v>
      </c>
      <c r="K131" s="95" t="s">
        <v>927</v>
      </c>
      <c r="L131" s="37">
        <v>242500</v>
      </c>
    </row>
    <row r="132" spans="1:12" ht="18.75" customHeight="1" x14ac:dyDescent="0.3">
      <c r="A132" s="32"/>
      <c r="B132" s="112"/>
      <c r="C132" s="33"/>
      <c r="D132" s="34"/>
      <c r="E132" s="35"/>
      <c r="F132" s="35"/>
      <c r="G132" s="35"/>
      <c r="H132" s="35"/>
      <c r="I132" s="36"/>
      <c r="J132" s="63">
        <v>24566</v>
      </c>
      <c r="K132" s="95" t="s">
        <v>929</v>
      </c>
      <c r="L132" s="37">
        <v>399600</v>
      </c>
    </row>
    <row r="133" spans="1:12" ht="54" customHeight="1" x14ac:dyDescent="0.3">
      <c r="A133" s="32"/>
      <c r="B133" s="112"/>
      <c r="C133" s="42"/>
      <c r="D133" s="33"/>
      <c r="E133" s="34"/>
      <c r="G133" s="35"/>
      <c r="H133" s="35"/>
      <c r="I133" s="36"/>
      <c r="J133" s="34" t="s">
        <v>930</v>
      </c>
      <c r="K133" s="34" t="s">
        <v>1013</v>
      </c>
      <c r="L133" s="35">
        <f>4000</f>
        <v>4000</v>
      </c>
    </row>
    <row r="134" spans="1:12" ht="18.75" customHeight="1" x14ac:dyDescent="0.3">
      <c r="A134" s="32"/>
      <c r="B134" s="105"/>
      <c r="C134" s="109"/>
      <c r="D134" s="110"/>
      <c r="E134" s="35"/>
      <c r="F134" s="35"/>
      <c r="G134" s="35"/>
      <c r="H134" s="35"/>
      <c r="I134" s="36"/>
      <c r="J134" s="113" t="s">
        <v>931</v>
      </c>
      <c r="K134" s="88" t="s">
        <v>932</v>
      </c>
      <c r="L134" s="37">
        <v>193500</v>
      </c>
    </row>
    <row r="135" spans="1:12" ht="18.75" customHeight="1" x14ac:dyDescent="0.3">
      <c r="A135" s="32"/>
      <c r="B135" s="112"/>
      <c r="C135" s="33"/>
      <c r="D135" s="34"/>
      <c r="E135" s="35"/>
      <c r="F135" s="35"/>
      <c r="G135" s="35"/>
      <c r="H135" s="35"/>
      <c r="I135" s="36"/>
      <c r="J135" s="113" t="s">
        <v>931</v>
      </c>
      <c r="K135" s="88" t="s">
        <v>933</v>
      </c>
      <c r="L135" s="37">
        <v>386000</v>
      </c>
    </row>
    <row r="136" spans="1:12" ht="28.5" customHeight="1" x14ac:dyDescent="0.3">
      <c r="A136" s="114"/>
      <c r="B136" s="115"/>
      <c r="C136" s="116"/>
      <c r="D136" s="117"/>
      <c r="E136" s="118"/>
      <c r="F136" s="118"/>
      <c r="G136" s="118"/>
      <c r="H136" s="118"/>
      <c r="I136" s="118"/>
      <c r="J136" s="119"/>
      <c r="K136" s="117" t="s">
        <v>934</v>
      </c>
      <c r="L136" s="119">
        <f>26400+33043.53+539.84</f>
        <v>59983.369999999995</v>
      </c>
    </row>
    <row r="137" spans="1:12" ht="48" customHeight="1" x14ac:dyDescent="0.3">
      <c r="A137" s="114"/>
      <c r="B137" s="120"/>
      <c r="C137" s="116"/>
      <c r="D137" s="117"/>
      <c r="E137" s="118"/>
      <c r="F137" s="118"/>
      <c r="G137" s="118"/>
      <c r="H137" s="118"/>
      <c r="I137" s="118"/>
      <c r="J137" s="121" t="s">
        <v>935</v>
      </c>
      <c r="K137" s="122" t="s">
        <v>936</v>
      </c>
      <c r="L137" s="119">
        <f>175928.74+84726.52</f>
        <v>260655.26</v>
      </c>
    </row>
    <row r="204" spans="1:12" ht="18.75" customHeight="1" x14ac:dyDescent="0.3">
      <c r="A204" s="50"/>
      <c r="B204" s="51"/>
      <c r="C204" s="51"/>
      <c r="D204" s="52" t="s">
        <v>237</v>
      </c>
      <c r="E204" s="53">
        <f>SUM(E129:E203)</f>
        <v>0</v>
      </c>
      <c r="F204" s="53">
        <f>SUM(F129:F203)</f>
        <v>0</v>
      </c>
      <c r="G204" s="53">
        <f>SUM(G129:G203)</f>
        <v>0</v>
      </c>
      <c r="H204" s="53">
        <f>SUM(H129:H203)</f>
        <v>0</v>
      </c>
      <c r="I204" s="54">
        <f t="shared" ref="I204:I212" si="5">SUM(E204:H204)</f>
        <v>0</v>
      </c>
      <c r="J204" s="55"/>
      <c r="K204" s="56"/>
      <c r="L204" s="55"/>
    </row>
    <row r="205" spans="1:12" ht="18.75" customHeight="1" x14ac:dyDescent="0.3">
      <c r="A205" s="50"/>
      <c r="B205" s="51"/>
      <c r="C205" s="51"/>
      <c r="D205" s="52" t="s">
        <v>238</v>
      </c>
      <c r="E205" s="54">
        <f>SUM(E127+E204)</f>
        <v>0</v>
      </c>
      <c r="F205" s="54">
        <f>SUM(F127+F204)</f>
        <v>0</v>
      </c>
      <c r="G205" s="54">
        <f>SUM(G127+G204)</f>
        <v>0</v>
      </c>
      <c r="H205" s="54">
        <f>SUM(H127+H204)</f>
        <v>0</v>
      </c>
      <c r="I205" s="54">
        <f t="shared" si="5"/>
        <v>0</v>
      </c>
      <c r="J205" s="55"/>
      <c r="K205" s="56"/>
      <c r="L205" s="55"/>
    </row>
    <row r="206" spans="1:12" ht="18.75" customHeight="1" x14ac:dyDescent="0.3">
      <c r="A206" s="57"/>
      <c r="B206" s="58"/>
      <c r="C206" s="58"/>
      <c r="D206" s="59" t="s">
        <v>239</v>
      </c>
      <c r="E206" s="60">
        <f>SUM(E128-E204)</f>
        <v>4492247</v>
      </c>
      <c r="F206" s="60">
        <f>SUM(F128-F204)</f>
        <v>1706300</v>
      </c>
      <c r="G206" s="60">
        <f>SUM(G128-G204)</f>
        <v>4442400</v>
      </c>
      <c r="H206" s="60">
        <f>SUM(H128-H204)</f>
        <v>3550425</v>
      </c>
      <c r="I206" s="60">
        <f t="shared" si="5"/>
        <v>14191372</v>
      </c>
      <c r="J206" s="55"/>
      <c r="K206" s="56"/>
      <c r="L206" s="55"/>
    </row>
    <row r="207" spans="1:12" ht="18.75" customHeight="1" x14ac:dyDescent="0.3">
      <c r="A207" s="61" t="s">
        <v>240</v>
      </c>
      <c r="B207" s="42"/>
      <c r="C207" s="33"/>
      <c r="D207" s="41"/>
      <c r="E207" s="35"/>
      <c r="F207" s="35"/>
      <c r="G207" s="35"/>
      <c r="H207" s="35"/>
      <c r="I207" s="36">
        <f t="shared" si="5"/>
        <v>0</v>
      </c>
      <c r="J207" s="37"/>
      <c r="K207" s="41"/>
      <c r="L207" s="37"/>
    </row>
    <row r="208" spans="1:12" ht="18.75" customHeight="1" x14ac:dyDescent="0.3">
      <c r="A208" s="32">
        <v>45429</v>
      </c>
      <c r="B208" s="42" t="s">
        <v>316</v>
      </c>
      <c r="C208" s="33" t="s">
        <v>317</v>
      </c>
      <c r="D208" s="34" t="s">
        <v>353</v>
      </c>
      <c r="E208" s="35">
        <v>19000</v>
      </c>
      <c r="F208" s="35"/>
      <c r="G208" s="35"/>
      <c r="H208" s="35"/>
      <c r="I208" s="36">
        <f t="shared" si="5"/>
        <v>19000</v>
      </c>
      <c r="J208" s="37"/>
      <c r="K208" s="34"/>
      <c r="L208" s="37"/>
    </row>
    <row r="209" spans="1:12" ht="18.75" customHeight="1" x14ac:dyDescent="0.3">
      <c r="A209" s="32">
        <v>45429</v>
      </c>
      <c r="B209" s="42" t="s">
        <v>318</v>
      </c>
      <c r="C209" s="33" t="s">
        <v>319</v>
      </c>
      <c r="D209" s="124" t="s">
        <v>354</v>
      </c>
      <c r="E209" s="35">
        <v>10000</v>
      </c>
      <c r="F209" s="35"/>
      <c r="G209" s="35"/>
      <c r="H209" s="35"/>
      <c r="I209" s="36">
        <f t="shared" si="5"/>
        <v>10000</v>
      </c>
      <c r="J209" s="37"/>
      <c r="K209" s="34"/>
      <c r="L209" s="37"/>
    </row>
    <row r="210" spans="1:12" ht="18.75" customHeight="1" x14ac:dyDescent="0.3">
      <c r="A210" s="125">
        <v>45436</v>
      </c>
      <c r="B210" s="86" t="s">
        <v>314</v>
      </c>
      <c r="C210" s="33" t="s">
        <v>313</v>
      </c>
      <c r="D210" s="34" t="s">
        <v>928</v>
      </c>
      <c r="E210" s="35"/>
      <c r="F210" s="35"/>
      <c r="G210" s="35"/>
      <c r="H210" s="35">
        <v>1506.62</v>
      </c>
      <c r="I210" s="36">
        <f t="shared" si="5"/>
        <v>1506.62</v>
      </c>
      <c r="J210" s="113" t="s">
        <v>931</v>
      </c>
      <c r="K210" s="88" t="s">
        <v>937</v>
      </c>
      <c r="L210" s="37">
        <v>1506.62</v>
      </c>
    </row>
    <row r="211" spans="1:12" ht="18.75" customHeight="1" x14ac:dyDescent="0.3">
      <c r="A211" s="32">
        <v>45439</v>
      </c>
      <c r="B211" s="42" t="s">
        <v>315</v>
      </c>
      <c r="C211" s="33" t="s">
        <v>313</v>
      </c>
      <c r="D211" s="69" t="s">
        <v>938</v>
      </c>
      <c r="E211" s="35"/>
      <c r="F211" s="35"/>
      <c r="G211" s="35"/>
      <c r="H211" s="35">
        <v>41237.699999999997</v>
      </c>
      <c r="I211" s="36">
        <f t="shared" si="5"/>
        <v>41237.699999999997</v>
      </c>
      <c r="J211" s="126">
        <v>45439</v>
      </c>
      <c r="K211" s="88" t="s">
        <v>939</v>
      </c>
      <c r="L211" s="37"/>
    </row>
    <row r="212" spans="1:12" ht="18.75" customHeight="1" x14ac:dyDescent="0.3">
      <c r="A212" s="32"/>
      <c r="B212" s="42"/>
      <c r="C212" s="33"/>
      <c r="D212" s="69"/>
      <c r="E212" s="35"/>
      <c r="F212" s="35"/>
      <c r="G212" s="35"/>
      <c r="H212" s="35"/>
      <c r="I212" s="36">
        <f t="shared" si="5"/>
        <v>0</v>
      </c>
      <c r="J212" s="43"/>
      <c r="K212" s="41"/>
      <c r="L212" s="37"/>
    </row>
    <row r="257" spans="1:9" ht="18.75" customHeight="1" x14ac:dyDescent="0.3">
      <c r="A257" s="50"/>
      <c r="B257" s="51"/>
      <c r="C257" s="51"/>
      <c r="D257" s="52" t="s">
        <v>241</v>
      </c>
      <c r="E257" s="53">
        <f>SUM(E207:E256)</f>
        <v>29000</v>
      </c>
      <c r="F257" s="53">
        <f>SUM(F207:F256)</f>
        <v>0</v>
      </c>
      <c r="G257" s="53">
        <f>SUM(G207:G256)</f>
        <v>0</v>
      </c>
      <c r="H257" s="53">
        <f>SUM(H207:H256)</f>
        <v>42744.32</v>
      </c>
      <c r="I257" s="54">
        <f>SUM(E257:H257)</f>
        <v>71744.320000000007</v>
      </c>
    </row>
    <row r="258" spans="1:9" ht="18.75" customHeight="1" x14ac:dyDescent="0.3">
      <c r="A258" s="50"/>
      <c r="B258" s="51"/>
      <c r="C258" s="51"/>
      <c r="D258" s="52" t="s">
        <v>242</v>
      </c>
      <c r="E258" s="54">
        <f>SUM(E205+E257)</f>
        <v>29000</v>
      </c>
      <c r="F258" s="54">
        <f>SUM(F205+F257)</f>
        <v>0</v>
      </c>
      <c r="G258" s="54">
        <f>SUM(G205+G257)</f>
        <v>0</v>
      </c>
      <c r="H258" s="54">
        <f>SUM(H205+H257)</f>
        <v>42744.32</v>
      </c>
      <c r="I258" s="54">
        <f>SUM(E258:H258)</f>
        <v>71744.320000000007</v>
      </c>
    </row>
    <row r="259" spans="1:9" ht="18.75" customHeight="1" x14ac:dyDescent="0.3">
      <c r="A259" s="57"/>
      <c r="B259" s="58"/>
      <c r="C259" s="58"/>
      <c r="D259" s="59" t="s">
        <v>243</v>
      </c>
      <c r="E259" s="60">
        <f>SUM(E206-E257)</f>
        <v>4463247</v>
      </c>
      <c r="F259" s="60">
        <f>SUM(F206-F257)</f>
        <v>1706300</v>
      </c>
      <c r="G259" s="60">
        <f>SUM(G206-G257)</f>
        <v>4442400</v>
      </c>
      <c r="H259" s="60">
        <f>SUM(H206-H257)</f>
        <v>3507680.68</v>
      </c>
      <c r="I259" s="60">
        <f>SUM(E259:H259)</f>
        <v>14119627.68</v>
      </c>
    </row>
    <row r="260" spans="1:9" ht="18.75" customHeight="1" x14ac:dyDescent="0.3">
      <c r="A260" s="61" t="s">
        <v>244</v>
      </c>
      <c r="B260" s="42"/>
      <c r="C260" s="33"/>
      <c r="D260" s="41"/>
      <c r="E260" s="35"/>
      <c r="F260" s="35"/>
      <c r="G260" s="35"/>
      <c r="H260" s="35"/>
      <c r="I260" s="36">
        <f>SUM(E260:H260)</f>
        <v>0</v>
      </c>
    </row>
    <row r="287" spans="4:9" ht="18.75" customHeight="1" x14ac:dyDescent="0.3">
      <c r="D287" s="52" t="s">
        <v>245</v>
      </c>
      <c r="E287" s="53">
        <f>SUM(E260:E286)</f>
        <v>0</v>
      </c>
      <c r="F287" s="53">
        <f>SUM(F260:F286)</f>
        <v>0</v>
      </c>
      <c r="G287" s="53">
        <f>SUM(G260:G286)</f>
        <v>0</v>
      </c>
      <c r="H287" s="53">
        <f>SUM(H260:H286)</f>
        <v>0</v>
      </c>
      <c r="I287" s="54">
        <f>SUM(E287:H287)</f>
        <v>0</v>
      </c>
    </row>
    <row r="288" spans="4:9" ht="18.75" customHeight="1" x14ac:dyDescent="0.3">
      <c r="D288" s="52" t="s">
        <v>246</v>
      </c>
      <c r="E288" s="54">
        <f>SUM(E258+E287)</f>
        <v>29000</v>
      </c>
      <c r="F288" s="54">
        <f>SUM(F258+F287)</f>
        <v>0</v>
      </c>
      <c r="G288" s="54">
        <f>SUM(G258+G287)</f>
        <v>0</v>
      </c>
      <c r="H288" s="54">
        <f>SUM(H258+H287)</f>
        <v>42744.32</v>
      </c>
      <c r="I288" s="54">
        <f>SUM(E288:H288)</f>
        <v>71744.320000000007</v>
      </c>
    </row>
    <row r="289" spans="1:9" ht="18.75" customHeight="1" x14ac:dyDescent="0.3">
      <c r="A289" s="57"/>
      <c r="B289" s="58"/>
      <c r="C289" s="58"/>
      <c r="D289" s="59" t="s">
        <v>247</v>
      </c>
      <c r="E289" s="60">
        <f>SUM(E259-E287)</f>
        <v>4463247</v>
      </c>
      <c r="F289" s="60">
        <f>SUM(F259-F287)</f>
        <v>1706300</v>
      </c>
      <c r="G289" s="60">
        <f>SUM(G259-G287)</f>
        <v>4442400</v>
      </c>
      <c r="H289" s="60">
        <f>SUM(H259-H287)</f>
        <v>3507680.68</v>
      </c>
      <c r="I289" s="60">
        <f>SUM(E289:H289)</f>
        <v>14119627.68</v>
      </c>
    </row>
    <row r="290" spans="1:9" ht="18.75" customHeight="1" x14ac:dyDescent="0.3">
      <c r="A290" s="61" t="s">
        <v>248</v>
      </c>
      <c r="B290" s="42"/>
      <c r="C290" s="33"/>
      <c r="D290" s="41"/>
      <c r="E290" s="35"/>
      <c r="F290" s="35"/>
      <c r="G290" s="35"/>
      <c r="H290" s="35"/>
      <c r="I290" s="36">
        <f>SUM(E290:H290)</f>
        <v>0</v>
      </c>
    </row>
    <row r="291" spans="1:9" ht="18.75" customHeight="1" x14ac:dyDescent="0.3">
      <c r="A291" s="32"/>
      <c r="B291" s="42"/>
      <c r="C291" s="33"/>
      <c r="D291" s="41"/>
      <c r="E291" s="35"/>
      <c r="F291" s="35"/>
      <c r="G291" s="35"/>
      <c r="H291" s="35"/>
      <c r="I291" s="36"/>
    </row>
    <row r="292" spans="1:9" ht="18.75" customHeight="1" x14ac:dyDescent="0.3">
      <c r="A292" s="32"/>
      <c r="B292" s="42"/>
      <c r="C292" s="33"/>
      <c r="D292" s="41"/>
      <c r="E292" s="35"/>
      <c r="F292" s="35"/>
      <c r="G292" s="35"/>
      <c r="H292" s="35"/>
      <c r="I292" s="36"/>
    </row>
    <row r="293" spans="1:9" ht="18.75" customHeight="1" x14ac:dyDescent="0.3">
      <c r="A293" s="32"/>
      <c r="B293" s="42"/>
      <c r="C293" s="33"/>
      <c r="D293" s="41"/>
      <c r="E293" s="35"/>
      <c r="F293" s="35"/>
      <c r="G293" s="35"/>
      <c r="H293" s="35"/>
      <c r="I293" s="36"/>
    </row>
    <row r="294" spans="1:9" ht="18.75" customHeight="1" x14ac:dyDescent="0.3">
      <c r="A294" s="32"/>
      <c r="B294" s="42"/>
      <c r="C294" s="33"/>
      <c r="D294" s="41"/>
      <c r="E294" s="35"/>
      <c r="F294" s="35"/>
      <c r="G294" s="35"/>
      <c r="H294" s="35"/>
      <c r="I294" s="36"/>
    </row>
    <row r="295" spans="1:9" ht="18.75" customHeight="1" x14ac:dyDescent="0.3">
      <c r="A295" s="32"/>
      <c r="B295" s="42"/>
      <c r="C295" s="33"/>
      <c r="D295" s="41"/>
      <c r="E295" s="35"/>
      <c r="F295" s="35"/>
      <c r="G295" s="35"/>
      <c r="H295" s="35"/>
      <c r="I295" s="36"/>
    </row>
    <row r="296" spans="1:9" ht="18.75" customHeight="1" x14ac:dyDescent="0.3">
      <c r="A296" s="32"/>
      <c r="B296" s="42"/>
      <c r="C296" s="33"/>
      <c r="D296" s="41"/>
      <c r="E296" s="35"/>
      <c r="F296" s="35"/>
      <c r="G296" s="35"/>
      <c r="H296" s="35"/>
      <c r="I296" s="36"/>
    </row>
    <row r="297" spans="1:9" ht="18.75" customHeight="1" x14ac:dyDescent="0.3">
      <c r="A297" s="32"/>
      <c r="B297" s="42"/>
      <c r="C297" s="33"/>
      <c r="D297" s="41"/>
      <c r="E297" s="35"/>
      <c r="F297" s="35"/>
      <c r="G297" s="35"/>
      <c r="H297" s="35"/>
      <c r="I297" s="36"/>
    </row>
    <row r="298" spans="1:9" ht="18.75" customHeight="1" x14ac:dyDescent="0.3">
      <c r="A298" s="32"/>
      <c r="B298" s="42"/>
      <c r="C298" s="33"/>
      <c r="D298" s="41"/>
      <c r="E298" s="35"/>
      <c r="F298" s="35"/>
      <c r="G298" s="35"/>
      <c r="H298" s="35"/>
      <c r="I298" s="36"/>
    </row>
    <row r="299" spans="1:9" ht="18.75" customHeight="1" x14ac:dyDescent="0.3">
      <c r="A299" s="32"/>
      <c r="B299" s="42"/>
      <c r="C299" s="33"/>
      <c r="D299" s="41"/>
      <c r="E299" s="35"/>
      <c r="F299" s="35"/>
      <c r="G299" s="35"/>
      <c r="H299" s="35"/>
      <c r="I299" s="36"/>
    </row>
    <row r="300" spans="1:9" ht="18.75" customHeight="1" x14ac:dyDescent="0.3">
      <c r="A300" s="32"/>
      <c r="B300" s="42"/>
      <c r="C300" s="33"/>
      <c r="D300" s="41"/>
      <c r="E300" s="35"/>
      <c r="F300" s="35"/>
      <c r="G300" s="35"/>
      <c r="H300" s="35"/>
      <c r="I300" s="36"/>
    </row>
    <row r="301" spans="1:9" ht="21.75" customHeight="1" x14ac:dyDescent="0.3">
      <c r="A301" s="44"/>
      <c r="B301" s="45"/>
      <c r="C301" s="46"/>
      <c r="D301" s="47"/>
      <c r="E301" s="48"/>
      <c r="F301" s="48"/>
      <c r="G301" s="48"/>
      <c r="H301" s="48"/>
      <c r="I301" s="49"/>
    </row>
    <row r="302" spans="1:9" ht="18.75" customHeight="1" x14ac:dyDescent="0.3">
      <c r="A302" s="50"/>
      <c r="B302" s="51"/>
      <c r="C302" s="51"/>
      <c r="D302" s="52" t="s">
        <v>249</v>
      </c>
      <c r="E302" s="53">
        <f>SUM(E290:E301)</f>
        <v>0</v>
      </c>
      <c r="F302" s="53">
        <f>SUM(F290:F301)</f>
        <v>0</v>
      </c>
      <c r="G302" s="53">
        <f>SUM(G290:G301)</f>
        <v>0</v>
      </c>
      <c r="H302" s="53">
        <f>SUM(H290:H301)</f>
        <v>0</v>
      </c>
      <c r="I302" s="54">
        <f>SUM(E302:H302)</f>
        <v>0</v>
      </c>
    </row>
    <row r="303" spans="1:9" ht="18.75" customHeight="1" x14ac:dyDescent="0.3">
      <c r="A303" s="50"/>
      <c r="B303" s="51"/>
      <c r="C303" s="51"/>
      <c r="D303" s="52" t="s">
        <v>250</v>
      </c>
      <c r="E303" s="54">
        <f>SUM(E288+E302)</f>
        <v>29000</v>
      </c>
      <c r="F303" s="54">
        <f>SUM(F288+F302)</f>
        <v>0</v>
      </c>
      <c r="G303" s="54">
        <f>SUM(G288+G302)</f>
        <v>0</v>
      </c>
      <c r="H303" s="54">
        <f>SUM(H288+H302)</f>
        <v>42744.32</v>
      </c>
      <c r="I303" s="54">
        <f>SUM(E303:H303)</f>
        <v>71744.320000000007</v>
      </c>
    </row>
    <row r="304" spans="1:9" ht="18.75" customHeight="1" x14ac:dyDescent="0.3">
      <c r="A304" s="57"/>
      <c r="B304" s="58"/>
      <c r="C304" s="58"/>
      <c r="D304" s="59" t="s">
        <v>251</v>
      </c>
      <c r="E304" s="60">
        <f>SUM(E289-E302)</f>
        <v>4463247</v>
      </c>
      <c r="F304" s="60">
        <f>SUM(F289-F302)</f>
        <v>1706300</v>
      </c>
      <c r="G304" s="60">
        <f>SUM(G289-G302)</f>
        <v>4442400</v>
      </c>
      <c r="H304" s="60">
        <f>SUM(H289-H302)</f>
        <v>3507680.68</v>
      </c>
      <c r="I304" s="60">
        <f>SUM(E304:H304)</f>
        <v>14119627.68</v>
      </c>
    </row>
    <row r="305" spans="1:9" ht="18.75" customHeight="1" x14ac:dyDescent="0.3">
      <c r="A305" s="61" t="s">
        <v>252</v>
      </c>
      <c r="B305" s="42"/>
      <c r="C305" s="33"/>
      <c r="D305" s="41"/>
      <c r="E305" s="35"/>
      <c r="F305" s="35"/>
      <c r="G305" s="35"/>
      <c r="H305" s="35"/>
      <c r="I305" s="36">
        <f>SUM(E305:H305)</f>
        <v>0</v>
      </c>
    </row>
    <row r="306" spans="1:9" ht="18.75" customHeight="1" x14ac:dyDescent="0.3">
      <c r="A306" s="129"/>
      <c r="B306" s="42"/>
      <c r="C306" s="33"/>
      <c r="D306" s="34"/>
      <c r="E306" s="35"/>
      <c r="F306" s="35"/>
      <c r="G306" s="35"/>
      <c r="H306" s="35"/>
      <c r="I306" s="36"/>
    </row>
    <row r="307" spans="1:9" ht="18.75" customHeight="1" x14ac:dyDescent="0.3">
      <c r="A307" s="130"/>
      <c r="B307" s="131"/>
      <c r="C307" s="132"/>
      <c r="D307" s="133"/>
      <c r="E307" s="134"/>
      <c r="F307" s="134"/>
      <c r="G307" s="134"/>
      <c r="H307" s="134"/>
      <c r="I307" s="135"/>
    </row>
    <row r="308" spans="1:9" ht="18.75" customHeight="1" x14ac:dyDescent="0.3">
      <c r="A308" s="130"/>
      <c r="B308" s="131"/>
      <c r="C308" s="132"/>
      <c r="D308" s="133"/>
      <c r="E308" s="134"/>
      <c r="F308" s="134"/>
      <c r="G308" s="134"/>
      <c r="H308" s="134"/>
      <c r="I308" s="135"/>
    </row>
    <row r="309" spans="1:9" ht="18.75" customHeight="1" x14ac:dyDescent="0.3">
      <c r="A309" s="130"/>
      <c r="B309" s="131"/>
      <c r="C309" s="132"/>
      <c r="D309" s="133"/>
      <c r="E309" s="134"/>
      <c r="F309" s="134"/>
      <c r="G309" s="134"/>
      <c r="H309" s="134"/>
      <c r="I309" s="135"/>
    </row>
    <row r="310" spans="1:9" ht="18.75" customHeight="1" x14ac:dyDescent="0.3">
      <c r="A310" s="32"/>
      <c r="B310" s="42"/>
      <c r="C310" s="33"/>
      <c r="D310" s="41"/>
      <c r="E310" s="35"/>
      <c r="F310" s="35"/>
      <c r="G310" s="35"/>
      <c r="H310" s="35"/>
      <c r="I310" s="36"/>
    </row>
    <row r="311" spans="1:9" ht="18.75" customHeight="1" x14ac:dyDescent="0.3">
      <c r="A311" s="32"/>
      <c r="B311" s="42"/>
      <c r="C311" s="33"/>
      <c r="D311" s="133"/>
      <c r="E311" s="134"/>
      <c r="F311" s="134"/>
      <c r="G311" s="134"/>
      <c r="H311" s="134"/>
      <c r="I311" s="135"/>
    </row>
    <row r="312" spans="1:9" ht="18.75" customHeight="1" x14ac:dyDescent="0.3">
      <c r="A312" s="43"/>
      <c r="B312" s="43"/>
      <c r="C312" s="43"/>
      <c r="D312" s="43"/>
      <c r="E312" s="35"/>
      <c r="F312" s="35"/>
      <c r="G312" s="35"/>
      <c r="H312" s="35"/>
      <c r="I312" s="36"/>
    </row>
    <row r="313" spans="1:9" ht="18.75" customHeight="1" x14ac:dyDescent="0.3">
      <c r="A313" s="32"/>
      <c r="B313" s="42"/>
      <c r="C313" s="33"/>
      <c r="D313" s="41"/>
      <c r="E313" s="35"/>
      <c r="F313" s="35"/>
      <c r="G313" s="35"/>
      <c r="H313" s="35"/>
      <c r="I313" s="36"/>
    </row>
    <row r="314" spans="1:9" ht="21.75" customHeight="1" x14ac:dyDescent="0.3">
      <c r="A314" s="44"/>
      <c r="B314" s="45"/>
      <c r="C314" s="46"/>
      <c r="D314" s="47"/>
      <c r="E314" s="48"/>
      <c r="F314" s="48"/>
      <c r="G314" s="48"/>
      <c r="H314" s="48"/>
      <c r="I314" s="49"/>
    </row>
    <row r="315" spans="1:9" ht="18.75" customHeight="1" x14ac:dyDescent="0.3">
      <c r="A315" s="50"/>
      <c r="B315" s="51"/>
      <c r="C315" s="51"/>
      <c r="D315" s="52" t="s">
        <v>253</v>
      </c>
      <c r="E315" s="53">
        <f>SUM(E305:E314)</f>
        <v>0</v>
      </c>
      <c r="F315" s="53">
        <f>SUM(F305:F314)</f>
        <v>0</v>
      </c>
      <c r="G315" s="53">
        <f>SUM(G305:G314)</f>
        <v>0</v>
      </c>
      <c r="H315" s="53">
        <f>SUM(H305:H314)</f>
        <v>0</v>
      </c>
      <c r="I315" s="54">
        <f>SUM(E315:H315)</f>
        <v>0</v>
      </c>
    </row>
    <row r="316" spans="1:9" ht="18.75" customHeight="1" x14ac:dyDescent="0.3">
      <c r="A316" s="50"/>
      <c r="B316" s="51"/>
      <c r="C316" s="51"/>
      <c r="D316" s="52" t="s">
        <v>254</v>
      </c>
      <c r="E316" s="54">
        <f>SUM(E303+E315)</f>
        <v>29000</v>
      </c>
      <c r="F316" s="54">
        <f>SUM(F303+F315)</f>
        <v>0</v>
      </c>
      <c r="G316" s="54">
        <f>SUM(G303+G315)</f>
        <v>0</v>
      </c>
      <c r="H316" s="54">
        <f>SUM(H303+H315)</f>
        <v>42744.32</v>
      </c>
      <c r="I316" s="54">
        <f>SUM(E316:H316)</f>
        <v>71744.320000000007</v>
      </c>
    </row>
    <row r="317" spans="1:9" ht="18.75" customHeight="1" x14ac:dyDescent="0.3">
      <c r="A317" s="57"/>
      <c r="B317" s="58"/>
      <c r="C317" s="58"/>
      <c r="D317" s="59" t="s">
        <v>255</v>
      </c>
      <c r="E317" s="60">
        <f>SUM(E304-E315)</f>
        <v>4463247</v>
      </c>
      <c r="F317" s="60">
        <f>SUM(F304-F315)</f>
        <v>1706300</v>
      </c>
      <c r="G317" s="60">
        <f>SUM(G304-G315)</f>
        <v>4442400</v>
      </c>
      <c r="H317" s="60">
        <f>SUM(H304-H315)</f>
        <v>3507680.68</v>
      </c>
      <c r="I317" s="60">
        <f>SUM(E317:H317)</f>
        <v>14119627.68</v>
      </c>
    </row>
    <row r="318" spans="1:9" ht="18.75" customHeight="1" x14ac:dyDescent="0.3">
      <c r="A318" s="61" t="s">
        <v>256</v>
      </c>
      <c r="B318" s="42"/>
      <c r="C318" s="33"/>
      <c r="D318" s="41"/>
      <c r="E318" s="35"/>
      <c r="F318" s="35"/>
      <c r="G318" s="35"/>
      <c r="H318" s="35"/>
      <c r="I318" s="36">
        <f>SUM(E318:H318)</f>
        <v>0</v>
      </c>
    </row>
    <row r="342" spans="4:9" ht="18.75" customHeight="1" x14ac:dyDescent="0.3">
      <c r="D342" s="52" t="s">
        <v>257</v>
      </c>
      <c r="E342" s="53">
        <f>SUM(E318:E341)</f>
        <v>0</v>
      </c>
      <c r="F342" s="53">
        <f>SUM(F318:F341)</f>
        <v>0</v>
      </c>
      <c r="G342" s="53">
        <f>SUM(G318:G341)</f>
        <v>0</v>
      </c>
      <c r="H342" s="53">
        <f>SUM(H318:H341)</f>
        <v>0</v>
      </c>
      <c r="I342" s="54">
        <f>SUM(E342:H342)</f>
        <v>0</v>
      </c>
    </row>
    <row r="343" spans="4:9" ht="18.75" customHeight="1" x14ac:dyDescent="0.3">
      <c r="D343" s="52" t="s">
        <v>258</v>
      </c>
      <c r="E343" s="54">
        <f>SUM(E316+E342)</f>
        <v>29000</v>
      </c>
      <c r="F343" s="54">
        <f>SUM(F316+F342)</f>
        <v>0</v>
      </c>
      <c r="G343" s="54">
        <f>SUM(G316+G342)</f>
        <v>0</v>
      </c>
      <c r="H343" s="54">
        <f>SUM(H316+H342)</f>
        <v>42744.32</v>
      </c>
      <c r="I343" s="54">
        <f>SUM(E343:H343)</f>
        <v>71744.320000000007</v>
      </c>
    </row>
    <row r="344" spans="4:9" ht="18.75" customHeight="1" x14ac:dyDescent="0.3">
      <c r="D344" s="59" t="s">
        <v>259</v>
      </c>
      <c r="E344" s="60">
        <f>SUM(E317-E342)</f>
        <v>4463247</v>
      </c>
      <c r="F344" s="60">
        <f>SUM(F317-F342)</f>
        <v>1706300</v>
      </c>
      <c r="G344" s="60">
        <f>SUM(G317-G342)</f>
        <v>4442400</v>
      </c>
      <c r="H344" s="60">
        <f>SUM(H317-H342)</f>
        <v>3507680.68</v>
      </c>
      <c r="I344" s="60">
        <f>SUM(E344:H344)</f>
        <v>14119627.68</v>
      </c>
    </row>
    <row r="345" spans="4:9" ht="18.75" customHeight="1" x14ac:dyDescent="0.3">
      <c r="D345" s="41"/>
      <c r="E345" s="37"/>
      <c r="F345" s="37"/>
      <c r="G345" s="37"/>
      <c r="H345" s="37"/>
      <c r="I345" s="139"/>
    </row>
    <row r="346" spans="4:9" ht="18.75" customHeight="1" x14ac:dyDescent="0.3">
      <c r="D346" s="140"/>
      <c r="E346" s="37"/>
      <c r="F346" s="37"/>
      <c r="G346" s="37"/>
      <c r="H346" s="37"/>
      <c r="I346" s="139"/>
    </row>
    <row r="347" spans="4:9" ht="18.75" customHeight="1" x14ac:dyDescent="0.3">
      <c r="D347" s="141"/>
      <c r="E347" s="37"/>
      <c r="F347" s="37"/>
      <c r="G347" s="37"/>
      <c r="H347" s="37"/>
      <c r="I347" s="139"/>
    </row>
    <row r="348" spans="4:9" ht="18.75" customHeight="1" x14ac:dyDescent="0.3">
      <c r="D348" s="41"/>
      <c r="E348" s="37"/>
      <c r="F348" s="37"/>
      <c r="G348" s="37"/>
      <c r="H348" s="37"/>
      <c r="I348" s="139"/>
    </row>
    <row r="349" spans="4:9" ht="18.75" customHeight="1" x14ac:dyDescent="0.3">
      <c r="D349" s="41"/>
      <c r="E349" s="37"/>
      <c r="F349" s="37"/>
      <c r="G349" s="37"/>
      <c r="H349" s="37"/>
      <c r="I349" s="139"/>
    </row>
    <row r="350" spans="4:9" ht="18.75" customHeight="1" x14ac:dyDescent="0.3">
      <c r="D350" s="113" t="s">
        <v>357</v>
      </c>
      <c r="E350" s="37"/>
      <c r="F350" s="37"/>
      <c r="G350" s="37"/>
      <c r="H350" s="37"/>
      <c r="I350" s="139"/>
    </row>
  </sheetData>
  <autoFilter ref="A1:P344" xr:uid="{00000000-0009-0000-0000-000016000000}"/>
  <conditionalFormatting sqref="A2:D2 F2:Z2 A3:Z20 K21:Z28 C21:J47 M29:N41 K29:L47 M42:Z47 E308:Z308 A309:Z309 E310:Z310 A311:Z311 E312:Z312 A313:Z320 E321:Z322">
    <cfRule type="cellIs" dxfId="144" priority="1" stopIfTrue="1" operator="lessThan">
      <formula>0</formula>
    </cfRule>
  </conditionalFormatting>
  <conditionalFormatting sqref="A7:D8">
    <cfRule type="expression" dxfId="143" priority="2" stopIfTrue="1">
      <formula>AND(A7&lt;TODAY(), TODAY()-A7&gt;=WEEKDAY(TODAY()), TODAY()-A7&lt;WEEKDAY(TODAY())+7)</formula>
    </cfRule>
  </conditionalFormatting>
  <conditionalFormatting sqref="A81:Z90 A89:C89 E89:Z89 J91:Z94 A91:H111 J110:Z111">
    <cfRule type="cellIs" dxfId="142" priority="4" stopIfTrue="1" operator="lessThan">
      <formula>0</formula>
    </cfRule>
  </conditionalFormatting>
  <conditionalFormatting sqref="A112:Z112">
    <cfRule type="cellIs" dxfId="141" priority="5" stopIfTrue="1" operator="lessThan">
      <formula>0</formula>
    </cfRule>
  </conditionalFormatting>
  <conditionalFormatting sqref="B1:B28 A1:A80 C1:D80 A1:Z1 O1:O28 Q1:Q28 F1:N80 P1:P80 R1:Z80 E3:E80 B42:B80 Q42:Q80 O42:O86 I81:I352 E89:H352 A113:D135 J113:Z352 A118:B307 A137:D311 B313:D322 A313:A352 D323:D346 B323:C352">
    <cfRule type="cellIs" dxfId="140" priority="3" stopIfTrue="1" operator="lessThan">
      <formula>0</formula>
    </cfRule>
  </conditionalFormatting>
  <conditionalFormatting sqref="C136:D169">
    <cfRule type="cellIs" dxfId="139" priority="6" stopIfTrue="1" operator="lessThan">
      <formula>0</formula>
    </cfRule>
  </conditionalFormatting>
  <conditionalFormatting sqref="D1:D66 C1:C67 F1:H67 J1:M67 N1:N68 I1:I70 C118:C135 D119:D135 C193:D194 C201:D240 C242:C307 D254:D307">
    <cfRule type="cellIs" dxfId="138" priority="7" stopIfTrue="1" operator="lessThan">
      <formula>0</formula>
    </cfRule>
  </conditionalFormatting>
  <conditionalFormatting sqref="E57:H57">
    <cfRule type="cellIs" dxfId="137" priority="8" stopIfTrue="1" operator="lessThan">
      <formula>0</formula>
    </cfRule>
  </conditionalFormatting>
  <conditionalFormatting sqref="E59:H59">
    <cfRule type="cellIs" dxfId="136" priority="9" stopIfTrue="1" operator="lessThan">
      <formula>0</formula>
    </cfRule>
  </conditionalFormatting>
  <conditionalFormatting sqref="E63:H66">
    <cfRule type="cellIs" dxfId="135" priority="10" stopIfTrue="1" operator="lessThan">
      <formula>0</formula>
    </cfRule>
  </conditionalFormatting>
  <conditionalFormatting sqref="E42:I44 M42:M44">
    <cfRule type="cellIs" dxfId="134" priority="11" stopIfTrue="1" operator="lessThan">
      <formula>0</formula>
    </cfRule>
  </conditionalFormatting>
  <conditionalFormatting sqref="E80:O80 J113:M116 O113:O116">
    <cfRule type="cellIs" dxfId="133" priority="12" stopIfTrue="1" operator="lessThan">
      <formula>0</formula>
    </cfRule>
  </conditionalFormatting>
  <conditionalFormatting sqref="E129:O129 E134:I134 J134:J135 J137:J138 J142:J143 I145:O145 E147:I148 J157:J164">
    <cfRule type="cellIs" dxfId="132" priority="13" stopIfTrue="1" operator="lessThan">
      <formula>0</formula>
    </cfRule>
  </conditionalFormatting>
  <conditionalFormatting sqref="E207:O207 N208:N209">
    <cfRule type="cellIs" dxfId="131" priority="14" stopIfTrue="1" operator="lessThan">
      <formula>0</formula>
    </cfRule>
  </conditionalFormatting>
  <conditionalFormatting sqref="E260:O260 I261:J261 K261:M263 J262:J263">
    <cfRule type="cellIs" dxfId="130" priority="15" stopIfTrue="1" operator="lessThan">
      <formula>0</formula>
    </cfRule>
  </conditionalFormatting>
  <conditionalFormatting sqref="E290:O290 I291:J291">
    <cfRule type="cellIs" dxfId="129" priority="16" stopIfTrue="1" operator="lessThan">
      <formula>0</formula>
    </cfRule>
  </conditionalFormatting>
  <conditionalFormatting sqref="E305:O306 I307:J307">
    <cfRule type="cellIs" dxfId="128" priority="17" stopIfTrue="1" operator="lessThan">
      <formula>0</formula>
    </cfRule>
  </conditionalFormatting>
  <conditionalFormatting sqref="E318:O318 I319:J319">
    <cfRule type="cellIs" dxfId="127" priority="18" stopIfTrue="1" operator="lessThan">
      <formula>0</formula>
    </cfRule>
  </conditionalFormatting>
  <conditionalFormatting sqref="G67">
    <cfRule type="cellIs" dxfId="126" priority="19" stopIfTrue="1" operator="lessThan">
      <formula>0</formula>
    </cfRule>
  </conditionalFormatting>
  <conditionalFormatting sqref="H123:H125 E123:G128 H126:O128">
    <cfRule type="cellIs" dxfId="125" priority="20" stopIfTrue="1" operator="lessThan">
      <formula>0</formula>
    </cfRule>
  </conditionalFormatting>
  <conditionalFormatting sqref="H299:H301 E299:G304 H302:O304 N307:O314 J312:M314 I315:O317 N319:O341 J339:M341 I342:O344">
    <cfRule type="cellIs" dxfId="124" priority="21" stopIfTrue="1" operator="lessThan">
      <formula>0</formula>
    </cfRule>
  </conditionalFormatting>
  <conditionalFormatting sqref="H18:J20 E20:G25 H21:I25 F26:I28">
    <cfRule type="cellIs" dxfId="123" priority="22" stopIfTrue="1" operator="lessThan">
      <formula>0</formula>
    </cfRule>
  </conditionalFormatting>
  <conditionalFormatting sqref="H60:O62">
    <cfRule type="cellIs" dxfId="122" priority="23" stopIfTrue="1" operator="lessThan">
      <formula>0</formula>
    </cfRule>
  </conditionalFormatting>
  <conditionalFormatting sqref="H77:O79">
    <cfRule type="cellIs" dxfId="121" priority="24" stopIfTrue="1" operator="lessThan">
      <formula>0</formula>
    </cfRule>
  </conditionalFormatting>
  <conditionalFormatting sqref="I287:O289">
    <cfRule type="cellIs" dxfId="120" priority="25" stopIfTrue="1" operator="lessThan">
      <formula>0</formula>
    </cfRule>
  </conditionalFormatting>
  <conditionalFormatting sqref="J146:J151">
    <cfRule type="cellIs" dxfId="119" priority="26" stopIfTrue="1" operator="lessThan">
      <formula>0</formula>
    </cfRule>
  </conditionalFormatting>
  <conditionalFormatting sqref="J155">
    <cfRule type="cellIs" dxfId="118" priority="27" stopIfTrue="1" operator="lessThan">
      <formula>0</formula>
    </cfRule>
  </conditionalFormatting>
  <conditionalFormatting sqref="J176">
    <cfRule type="cellIs" dxfId="117" priority="28" stopIfTrue="1" operator="lessThan">
      <formula>0</formula>
    </cfRule>
  </conditionalFormatting>
  <conditionalFormatting sqref="J179:J180">
    <cfRule type="cellIs" dxfId="116" priority="29" stopIfTrue="1" operator="lessThan">
      <formula>0</formula>
    </cfRule>
  </conditionalFormatting>
  <conditionalFormatting sqref="J190">
    <cfRule type="cellIs" dxfId="115" priority="30" stopIfTrue="1" operator="lessThan">
      <formula>0</formula>
    </cfRule>
  </conditionalFormatting>
  <conditionalFormatting sqref="J193:J194">
    <cfRule type="cellIs" dxfId="114" priority="31" stopIfTrue="1" operator="lessThan">
      <formula>0</formula>
    </cfRule>
  </conditionalFormatting>
  <conditionalFormatting sqref="J210:J211">
    <cfRule type="cellIs" dxfId="113" priority="32" stopIfTrue="1" operator="lessThan">
      <formula>0</formula>
    </cfRule>
  </conditionalFormatting>
  <conditionalFormatting sqref="J218">
    <cfRule type="cellIs" dxfId="112" priority="33" stopIfTrue="1" operator="lessThan">
      <formula>0</formula>
    </cfRule>
  </conditionalFormatting>
  <conditionalFormatting sqref="J223">
    <cfRule type="cellIs" dxfId="111" priority="34" stopIfTrue="1" operator="lessThan">
      <formula>0</formula>
    </cfRule>
  </conditionalFormatting>
  <conditionalFormatting sqref="J229">
    <cfRule type="cellIs" dxfId="110" priority="35" stopIfTrue="1" operator="lessThan">
      <formula>0</formula>
    </cfRule>
  </conditionalFormatting>
  <conditionalFormatting sqref="J232">
    <cfRule type="cellIs" dxfId="109" priority="36" stopIfTrue="1" operator="lessThan">
      <formula>0</formula>
    </cfRule>
  </conditionalFormatting>
  <conditionalFormatting sqref="J243">
    <cfRule type="cellIs" dxfId="108" priority="37" stopIfTrue="1" operator="lessThan">
      <formula>0</formula>
    </cfRule>
  </conditionalFormatting>
  <conditionalFormatting sqref="J246">
    <cfRule type="cellIs" dxfId="107" priority="38" stopIfTrue="1" operator="lessThan">
      <formula>0</formula>
    </cfRule>
  </conditionalFormatting>
  <conditionalFormatting sqref="J249">
    <cfRule type="cellIs" dxfId="106" priority="39" stopIfTrue="1" operator="lessThan">
      <formula>0</formula>
    </cfRule>
  </conditionalFormatting>
  <conditionalFormatting sqref="J210:L210">
    <cfRule type="cellIs" dxfId="105" priority="40" stopIfTrue="1" operator="lessThan">
      <formula>0</formula>
    </cfRule>
  </conditionalFormatting>
  <conditionalFormatting sqref="J83:M83">
    <cfRule type="cellIs" dxfId="104" priority="41" stopIfTrue="1" operator="lessThan">
      <formula>0</formula>
    </cfRule>
  </conditionalFormatting>
  <conditionalFormatting sqref="J85:M86">
    <cfRule type="cellIs" dxfId="103" priority="42" stopIfTrue="1" operator="lessThan">
      <formula>0</formula>
    </cfRule>
  </conditionalFormatting>
  <conditionalFormatting sqref="J131:M131 O131">
    <cfRule type="cellIs" dxfId="102" priority="43" stopIfTrue="1" operator="lessThan">
      <formula>0</formula>
    </cfRule>
  </conditionalFormatting>
  <conditionalFormatting sqref="J135:M136 O135:O136">
    <cfRule type="cellIs" dxfId="101" priority="44" stopIfTrue="1" operator="lessThan">
      <formula>0</formula>
    </cfRule>
  </conditionalFormatting>
  <conditionalFormatting sqref="J139:M141 O139:O141">
    <cfRule type="cellIs" dxfId="100" priority="45" stopIfTrue="1" operator="lessThan">
      <formula>0</formula>
    </cfRule>
  </conditionalFormatting>
  <conditionalFormatting sqref="J144:M144 O144">
    <cfRule type="cellIs" dxfId="99" priority="46" stopIfTrue="1" operator="lessThan">
      <formula>0</formula>
    </cfRule>
  </conditionalFormatting>
  <conditionalFormatting sqref="J147:M152 O147:O152">
    <cfRule type="cellIs" dxfId="98" priority="47" stopIfTrue="1" operator="lessThan">
      <formula>0</formula>
    </cfRule>
  </conditionalFormatting>
  <conditionalFormatting sqref="J154:M160 O154:O160">
    <cfRule type="cellIs" dxfId="97" priority="48" stopIfTrue="1" operator="lessThan">
      <formula>0</formula>
    </cfRule>
  </conditionalFormatting>
  <conditionalFormatting sqref="J162:M163 O162:O163">
    <cfRule type="cellIs" dxfId="96" priority="49" stopIfTrue="1" operator="lessThan">
      <formula>0</formula>
    </cfRule>
  </conditionalFormatting>
  <conditionalFormatting sqref="J165:M168 O165:O168">
    <cfRule type="cellIs" dxfId="95" priority="50" stopIfTrue="1" operator="lessThan">
      <formula>0</formula>
    </cfRule>
  </conditionalFormatting>
  <conditionalFormatting sqref="J171:M174 O171:O174">
    <cfRule type="cellIs" dxfId="94" priority="51" stopIfTrue="1" operator="lessThan">
      <formula>0</formula>
    </cfRule>
  </conditionalFormatting>
  <conditionalFormatting sqref="J177:M178 O177:O178">
    <cfRule type="cellIs" dxfId="93" priority="52" stopIfTrue="1" operator="lessThan">
      <formula>0</formula>
    </cfRule>
  </conditionalFormatting>
  <conditionalFormatting sqref="J181:M184 O181:O184">
    <cfRule type="cellIs" dxfId="92" priority="53" stopIfTrue="1" operator="lessThan">
      <formula>0</formula>
    </cfRule>
  </conditionalFormatting>
  <conditionalFormatting sqref="J186:M188 O186:O188">
    <cfRule type="cellIs" dxfId="91" priority="54" stopIfTrue="1" operator="lessThan">
      <formula>0</formula>
    </cfRule>
  </conditionalFormatting>
  <conditionalFormatting sqref="J191:M192 O191:O192">
    <cfRule type="cellIs" dxfId="90" priority="55" stopIfTrue="1" operator="lessThan">
      <formula>0</formula>
    </cfRule>
  </conditionalFormatting>
  <conditionalFormatting sqref="J195:M198 O195:O198">
    <cfRule type="cellIs" dxfId="89" priority="56" stopIfTrue="1" operator="lessThan">
      <formula>0</formula>
    </cfRule>
  </conditionalFormatting>
  <conditionalFormatting sqref="J200:M203 O200:O203 I204:O206">
    <cfRule type="cellIs" dxfId="88" priority="57" stopIfTrue="1" operator="lessThan">
      <formula>0</formula>
    </cfRule>
  </conditionalFormatting>
  <conditionalFormatting sqref="J212:M216 O212:O216">
    <cfRule type="cellIs" dxfId="87" priority="58" stopIfTrue="1" operator="lessThan">
      <formula>0</formula>
    </cfRule>
  </conditionalFormatting>
  <conditionalFormatting sqref="J219:M221 O219:O221">
    <cfRule type="cellIs" dxfId="86" priority="59" stopIfTrue="1" operator="lessThan">
      <formula>0</formula>
    </cfRule>
  </conditionalFormatting>
  <conditionalFormatting sqref="J224:M227 O224:O227">
    <cfRule type="cellIs" dxfId="85" priority="60" stopIfTrue="1" operator="lessThan">
      <formula>0</formula>
    </cfRule>
  </conditionalFormatting>
  <conditionalFormatting sqref="J230:M231 O230:O231">
    <cfRule type="cellIs" dxfId="84" priority="61" stopIfTrue="1" operator="lessThan">
      <formula>0</formula>
    </cfRule>
  </conditionalFormatting>
  <conditionalFormatting sqref="J233:M240 O233:O240">
    <cfRule type="cellIs" dxfId="83" priority="62" stopIfTrue="1" operator="lessThan">
      <formula>0</formula>
    </cfRule>
  </conditionalFormatting>
  <conditionalFormatting sqref="J244:M245 O244:O245">
    <cfRule type="cellIs" dxfId="82" priority="63" stopIfTrue="1" operator="lessThan">
      <formula>0</formula>
    </cfRule>
  </conditionalFormatting>
  <conditionalFormatting sqref="J247:M256 O247:O256 H254:H256 E254:G259 H257:O259">
    <cfRule type="cellIs" dxfId="81" priority="64" stopIfTrue="1" operator="lessThan">
      <formula>0</formula>
    </cfRule>
  </conditionalFormatting>
  <conditionalFormatting sqref="J95:AA109">
    <cfRule type="cellIs" dxfId="80" priority="65" stopIfTrue="1" operator="lessThan">
      <formula>0</formula>
    </cfRule>
  </conditionalFormatting>
  <conditionalFormatting sqref="K42:K44">
    <cfRule type="cellIs" dxfId="79" priority="66" stopIfTrue="1" operator="lessThan">
      <formula>0</formula>
    </cfRule>
  </conditionalFormatting>
  <conditionalFormatting sqref="K118:L118">
    <cfRule type="cellIs" dxfId="78" priority="67" stopIfTrue="1" operator="lessThan">
      <formula>0</formula>
    </cfRule>
  </conditionalFormatting>
  <conditionalFormatting sqref="K81:M84 E81:H86 J81:J88">
    <cfRule type="cellIs" dxfId="77" priority="68" stopIfTrue="1" operator="lessThan">
      <formula>0</formula>
    </cfRule>
  </conditionalFormatting>
  <conditionalFormatting sqref="K291:M295 O291:O295 J292:J295">
    <cfRule type="cellIs" dxfId="76" priority="69" stopIfTrue="1" operator="lessThan">
      <formula>0</formula>
    </cfRule>
  </conditionalFormatting>
  <conditionalFormatting sqref="K307:M311 J308:J311">
    <cfRule type="cellIs" dxfId="75" priority="70" stopIfTrue="1" operator="lessThan">
      <formula>0</formula>
    </cfRule>
  </conditionalFormatting>
  <conditionalFormatting sqref="K319:M338 J320:J338">
    <cfRule type="cellIs" dxfId="74" priority="71" stopIfTrue="1" operator="lessThan">
      <formula>0</formula>
    </cfRule>
  </conditionalFormatting>
  <conditionalFormatting sqref="K29:N29 H39:I41">
    <cfRule type="cellIs" dxfId="73" priority="72" stopIfTrue="1" operator="lessThan">
      <formula>0</formula>
    </cfRule>
  </conditionalFormatting>
  <conditionalFormatting sqref="K51:O51 H51:J53 E51:G56 K52:M56 H54:H56 J54:J56">
    <cfRule type="cellIs" dxfId="72" priority="73" stopIfTrue="1" operator="lessThan">
      <formula>0</formula>
    </cfRule>
  </conditionalFormatting>
  <conditionalFormatting sqref="M323">
    <cfRule type="cellIs" dxfId="71" priority="74" stopIfTrue="1" operator="lessThan">
      <formula>0</formula>
    </cfRule>
  </conditionalFormatting>
  <conditionalFormatting sqref="O261:O265 J264:M265">
    <cfRule type="cellIs" dxfId="70" priority="75" stopIfTrue="1" operator="lessThan">
      <formula>0</formula>
    </cfRule>
  </conditionalFormatting>
  <pageMargins left="0.7" right="0.7" top="0.75" bottom="0.75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J225"/>
  <sheetViews>
    <sheetView zoomScaleNormal="100" workbookViewId="0">
      <pane xSplit="1" ySplit="6" topLeftCell="B31" activePane="bottomRight" state="frozen"/>
      <selection activeCell="E13" sqref="E13"/>
      <selection pane="topRight" activeCell="E13" sqref="E13"/>
      <selection pane="bottomLeft" activeCell="E13" sqref="E13"/>
      <selection pane="bottomRight" activeCell="B50" sqref="B50"/>
    </sheetView>
  </sheetViews>
  <sheetFormatPr defaultColWidth="14.42578125" defaultRowHeight="15" customHeight="1" x14ac:dyDescent="0.3"/>
  <cols>
    <col min="1" max="1" width="16.85546875" style="137" bestFit="1" customWidth="1"/>
    <col min="2" max="2" width="19.5703125" style="137" customWidth="1"/>
    <col min="3" max="4" width="17.140625" style="137" customWidth="1"/>
    <col min="5" max="5" width="22.140625" style="137" customWidth="1"/>
    <col min="6" max="6" width="24" style="137" customWidth="1"/>
    <col min="7" max="7" width="21" style="137" customWidth="1"/>
    <col min="8" max="8" width="31.28515625" style="137" customWidth="1"/>
    <col min="9" max="9" width="23.5703125" style="137" customWidth="1"/>
    <col min="10" max="10" width="14.140625" style="137" customWidth="1"/>
    <col min="11" max="11" width="15" style="137" customWidth="1"/>
    <col min="12" max="13" width="9.140625" style="137" customWidth="1"/>
    <col min="14" max="29" width="8.7109375" style="137" customWidth="1"/>
    <col min="30" max="16384" width="14.42578125" style="137"/>
  </cols>
  <sheetData>
    <row r="1" spans="1:10" ht="18.75" customHeight="1" x14ac:dyDescent="0.3">
      <c r="A1" s="281" t="s">
        <v>358</v>
      </c>
      <c r="B1" s="136"/>
      <c r="C1" s="136"/>
      <c r="D1" s="136"/>
      <c r="E1" s="136"/>
      <c r="F1" s="136"/>
      <c r="G1" s="136"/>
      <c r="H1" s="136"/>
      <c r="I1" s="136"/>
    </row>
    <row r="2" spans="1:10" ht="18.75" customHeight="1" x14ac:dyDescent="0.3">
      <c r="A2" s="282"/>
      <c r="B2" s="964" t="str">
        <f>'ใบกัน 900-ดำเนินงาน'!E1</f>
        <v>FPO forum</v>
      </c>
      <c r="C2" s="964" t="str">
        <f>'ใบกัน 900-ดำเนินงาน'!F1</f>
        <v>ตปท.ชั่วคราว</v>
      </c>
      <c r="D2" s="964" t="str">
        <f>'ใบกัน 900-ดำเนินงาน'!G1</f>
        <v>หนี้นอกระบบ</v>
      </c>
      <c r="E2" s="964" t="str">
        <f>'ใบกัน 900-ดำเนินงาน'!H1</f>
        <v>โครงการป้องปราม</v>
      </c>
      <c r="F2" s="964" t="str">
        <f>'ใบกัน 900-ดำเนินงาน'!I1</f>
        <v>สถาบันการเงิน ปชช.</v>
      </c>
      <c r="G2" s="964" t="str">
        <f>'ใบกัน 900-ดำเนินงาน'!J1</f>
        <v>คุ้มครองเงินฝากฯ (กคป)</v>
      </c>
      <c r="H2" s="964" t="str">
        <f>'ใบกัน 900-ดำเนินงาน'!K1</f>
        <v>ประชุมประจำปีสภาผู้ว่าการ</v>
      </c>
      <c r="I2" s="274" t="s">
        <v>208</v>
      </c>
    </row>
    <row r="3" spans="1:10" ht="18.75" customHeight="1" x14ac:dyDescent="0.3">
      <c r="A3" s="282"/>
      <c r="B3" s="964"/>
      <c r="C3" s="964"/>
      <c r="D3" s="964" t="str">
        <f>'ใบกัน 900-ดำเนินงาน'!G2</f>
        <v>(กพช)</v>
      </c>
      <c r="E3" s="964" t="str">
        <f>'ใบกัน 900-ดำเนินงาน'!H2</f>
        <v>การเงินนอกระบบ (กพช)</v>
      </c>
      <c r="F3" s="964" t="str">
        <f>'ใบกัน 900-ดำเนินงาน'!I2</f>
        <v>พ.ศ. 2562 (กพช)</v>
      </c>
      <c r="G3" s="964"/>
      <c r="H3" s="964" t="str">
        <f>'ใบกัน 900-ดำเนินงาน'!K2</f>
        <v>ธนาคารโลกฯ 2569 (กศร)</v>
      </c>
      <c r="I3" s="274"/>
    </row>
    <row r="4" spans="1:10" ht="18.75" customHeight="1" x14ac:dyDescent="0.3">
      <c r="A4" s="283" t="s">
        <v>209</v>
      </c>
      <c r="B4" s="145">
        <v>0</v>
      </c>
      <c r="C4" s="145">
        <v>0</v>
      </c>
      <c r="D4" s="145">
        <v>0</v>
      </c>
      <c r="E4" s="145">
        <v>0</v>
      </c>
      <c r="F4" s="145">
        <v>0</v>
      </c>
      <c r="G4" s="145">
        <v>0</v>
      </c>
      <c r="H4" s="145">
        <v>0</v>
      </c>
      <c r="I4" s="145">
        <f>SUM(B4:H4)</f>
        <v>0</v>
      </c>
    </row>
    <row r="5" spans="1:10" ht="18.75" customHeight="1" x14ac:dyDescent="0.3">
      <c r="A5" s="283" t="s">
        <v>210</v>
      </c>
      <c r="B5" s="145">
        <f>'ใบกัน 900-ดำเนินงาน'!E4</f>
        <v>0</v>
      </c>
      <c r="C5" s="145">
        <f>'ใบกัน 900-ดำเนินงาน'!F4</f>
        <v>474800</v>
      </c>
      <c r="D5" s="145">
        <f>'ใบกัน 900-ดำเนินงาน'!G4</f>
        <v>335000</v>
      </c>
      <c r="E5" s="145">
        <f>'ใบกัน 900-ดำเนินงาน'!H4</f>
        <v>25000</v>
      </c>
      <c r="F5" s="145">
        <f>'ใบกัน 900-ดำเนินงาน'!I4</f>
        <v>124000</v>
      </c>
      <c r="G5" s="145">
        <f>'ใบกัน 900-ดำเนินงาน'!J4</f>
        <v>577300</v>
      </c>
      <c r="H5" s="145">
        <f>'ใบกัน 900-ดำเนินงาน'!K4</f>
        <v>30801000</v>
      </c>
      <c r="I5" s="145">
        <f>SUM(B5:H5)</f>
        <v>32337100</v>
      </c>
    </row>
    <row r="6" spans="1:10" ht="18.75" customHeight="1" x14ac:dyDescent="0.3">
      <c r="A6" s="283" t="s">
        <v>211</v>
      </c>
      <c r="B6" s="145"/>
      <c r="C6" s="145"/>
      <c r="D6" s="145"/>
      <c r="E6" s="145"/>
      <c r="F6" s="145"/>
      <c r="G6" s="145"/>
      <c r="H6" s="145"/>
      <c r="I6" s="145"/>
    </row>
    <row r="7" spans="1:10" ht="18.75" customHeight="1" x14ac:dyDescent="0.3">
      <c r="A7" s="284" t="s">
        <v>212</v>
      </c>
      <c r="B7" s="195"/>
      <c r="C7" s="195"/>
      <c r="D7" s="195"/>
      <c r="E7" s="195"/>
      <c r="F7" s="195"/>
      <c r="G7" s="195"/>
      <c r="H7" s="195"/>
      <c r="I7" s="145"/>
    </row>
    <row r="8" spans="1:10" s="986" customFormat="1" ht="15" customHeight="1" x14ac:dyDescent="0.3">
      <c r="A8" s="728">
        <v>45573</v>
      </c>
      <c r="H8" s="986">
        <v>2351</v>
      </c>
      <c r="I8" s="145">
        <f t="shared" ref="I8:I10" si="0">SUM(B8:H8)</f>
        <v>2351</v>
      </c>
      <c r="J8" s="272" t="s">
        <v>1472</v>
      </c>
    </row>
    <row r="9" spans="1:10" s="986" customFormat="1" ht="15" customHeight="1" x14ac:dyDescent="0.3">
      <c r="A9" s="728">
        <v>45576</v>
      </c>
      <c r="H9" s="986">
        <v>193300</v>
      </c>
      <c r="I9" s="145">
        <f t="shared" si="0"/>
        <v>193300</v>
      </c>
      <c r="J9" s="272" t="s">
        <v>1470</v>
      </c>
    </row>
    <row r="10" spans="1:10" s="986" customFormat="1" ht="15" customHeight="1" x14ac:dyDescent="0.3">
      <c r="A10" s="728">
        <v>45581</v>
      </c>
      <c r="H10" s="986">
        <f>1002000-351998.34-52536.41</f>
        <v>597465.24999999988</v>
      </c>
      <c r="I10" s="145">
        <f t="shared" si="0"/>
        <v>597465.24999999988</v>
      </c>
      <c r="J10" s="272" t="s">
        <v>1471</v>
      </c>
    </row>
    <row r="13" spans="1:10" ht="18.75" customHeight="1" x14ac:dyDescent="0.3">
      <c r="A13" s="287" t="s">
        <v>213</v>
      </c>
      <c r="B13" s="279">
        <f t="shared" ref="B13:H13" si="1">SUM(B7:B12)</f>
        <v>0</v>
      </c>
      <c r="C13" s="279">
        <f t="shared" si="1"/>
        <v>0</v>
      </c>
      <c r="D13" s="279">
        <f t="shared" si="1"/>
        <v>0</v>
      </c>
      <c r="E13" s="279">
        <f t="shared" si="1"/>
        <v>0</v>
      </c>
      <c r="F13" s="279">
        <f t="shared" si="1"/>
        <v>0</v>
      </c>
      <c r="G13" s="279">
        <f t="shared" si="1"/>
        <v>0</v>
      </c>
      <c r="H13" s="279">
        <f t="shared" si="1"/>
        <v>793116.24999999988</v>
      </c>
      <c r="I13" s="280">
        <f>SUM(B13:H13)</f>
        <v>793116.24999999988</v>
      </c>
    </row>
    <row r="14" spans="1:10" ht="18.75" customHeight="1" x14ac:dyDescent="0.3">
      <c r="A14" s="287" t="s">
        <v>341</v>
      </c>
      <c r="B14" s="279">
        <f t="shared" ref="B14:G14" si="2">SUM(B4+B13)</f>
        <v>0</v>
      </c>
      <c r="C14" s="279">
        <f t="shared" si="2"/>
        <v>0</v>
      </c>
      <c r="D14" s="279">
        <f t="shared" si="2"/>
        <v>0</v>
      </c>
      <c r="E14" s="279">
        <f t="shared" si="2"/>
        <v>0</v>
      </c>
      <c r="F14" s="279">
        <f t="shared" si="2"/>
        <v>0</v>
      </c>
      <c r="G14" s="279">
        <f t="shared" si="2"/>
        <v>0</v>
      </c>
      <c r="H14" s="279">
        <f>SUM(H4+H13)</f>
        <v>793116.24999999988</v>
      </c>
      <c r="I14" s="280">
        <f>SUM(B14:H14)</f>
        <v>793116.24999999988</v>
      </c>
    </row>
    <row r="15" spans="1:10" ht="18.75" customHeight="1" x14ac:dyDescent="0.3">
      <c r="A15" s="287" t="s">
        <v>210</v>
      </c>
      <c r="B15" s="279">
        <f t="shared" ref="B15:H15" si="3">SUM(B5-B13)</f>
        <v>0</v>
      </c>
      <c r="C15" s="279">
        <f t="shared" si="3"/>
        <v>474800</v>
      </c>
      <c r="D15" s="279">
        <f t="shared" si="3"/>
        <v>335000</v>
      </c>
      <c r="E15" s="279">
        <f t="shared" si="3"/>
        <v>25000</v>
      </c>
      <c r="F15" s="279">
        <f t="shared" si="3"/>
        <v>124000</v>
      </c>
      <c r="G15" s="279">
        <f t="shared" si="3"/>
        <v>577300</v>
      </c>
      <c r="H15" s="279">
        <f t="shared" si="3"/>
        <v>30007883.75</v>
      </c>
      <c r="I15" s="280">
        <f>SUM(B15:H15)</f>
        <v>31543983.75</v>
      </c>
    </row>
    <row r="16" spans="1:10" ht="18.75" customHeight="1" x14ac:dyDescent="0.3">
      <c r="A16" s="284" t="s">
        <v>216</v>
      </c>
      <c r="B16" s="195"/>
      <c r="C16" s="195"/>
      <c r="D16" s="195"/>
      <c r="E16" s="195"/>
      <c r="F16" s="195"/>
      <c r="G16" s="195"/>
      <c r="H16" s="195"/>
      <c r="I16" s="145"/>
    </row>
    <row r="17" spans="1:9" ht="15" customHeight="1" x14ac:dyDescent="0.3">
      <c r="A17" s="728">
        <v>45609</v>
      </c>
      <c r="G17" s="137">
        <f>75340-34751</f>
        <v>40589</v>
      </c>
      <c r="I17" s="145">
        <f t="shared" ref="I17:I27" si="4">SUM(B17:H17)</f>
        <v>40589</v>
      </c>
    </row>
    <row r="18" spans="1:9" ht="15" customHeight="1" x14ac:dyDescent="0.3">
      <c r="A18" s="728">
        <v>45625</v>
      </c>
      <c r="G18" s="137">
        <v>28000</v>
      </c>
      <c r="I18" s="145">
        <f t="shared" si="4"/>
        <v>28000</v>
      </c>
    </row>
    <row r="19" spans="1:9" ht="15" customHeight="1" x14ac:dyDescent="0.3">
      <c r="I19" s="145">
        <f t="shared" si="4"/>
        <v>0</v>
      </c>
    </row>
    <row r="20" spans="1:9" ht="15" customHeight="1" x14ac:dyDescent="0.3">
      <c r="I20" s="145">
        <f t="shared" si="4"/>
        <v>0</v>
      </c>
    </row>
    <row r="21" spans="1:9" ht="15" customHeight="1" x14ac:dyDescent="0.3">
      <c r="I21" s="145">
        <f t="shared" si="4"/>
        <v>0</v>
      </c>
    </row>
    <row r="22" spans="1:9" ht="15" customHeight="1" x14ac:dyDescent="0.3">
      <c r="I22" s="145">
        <f t="shared" si="4"/>
        <v>0</v>
      </c>
    </row>
    <row r="23" spans="1:9" ht="15" customHeight="1" x14ac:dyDescent="0.3">
      <c r="I23" s="145">
        <f t="shared" si="4"/>
        <v>0</v>
      </c>
    </row>
    <row r="24" spans="1:9" ht="15" customHeight="1" x14ac:dyDescent="0.3">
      <c r="I24" s="145">
        <f t="shared" si="4"/>
        <v>0</v>
      </c>
    </row>
    <row r="25" spans="1:9" ht="15" customHeight="1" x14ac:dyDescent="0.3">
      <c r="I25" s="145">
        <f t="shared" si="4"/>
        <v>0</v>
      </c>
    </row>
    <row r="26" spans="1:9" ht="15" customHeight="1" x14ac:dyDescent="0.3">
      <c r="I26" s="145">
        <f t="shared" si="4"/>
        <v>0</v>
      </c>
    </row>
    <row r="27" spans="1:9" ht="15" customHeight="1" x14ac:dyDescent="0.3">
      <c r="I27" s="145">
        <f t="shared" si="4"/>
        <v>0</v>
      </c>
    </row>
    <row r="29" spans="1:9" ht="18.75" customHeight="1" x14ac:dyDescent="0.3">
      <c r="A29" s="287" t="s">
        <v>217</v>
      </c>
      <c r="B29" s="279">
        <f t="shared" ref="B29:H29" si="5">SUM(B16:B28)</f>
        <v>0</v>
      </c>
      <c r="C29" s="279">
        <f t="shared" si="5"/>
        <v>0</v>
      </c>
      <c r="D29" s="279">
        <f t="shared" si="5"/>
        <v>0</v>
      </c>
      <c r="E29" s="279">
        <f t="shared" si="5"/>
        <v>0</v>
      </c>
      <c r="F29" s="279">
        <f t="shared" si="5"/>
        <v>0</v>
      </c>
      <c r="G29" s="279">
        <f t="shared" si="5"/>
        <v>68589</v>
      </c>
      <c r="H29" s="279">
        <f t="shared" si="5"/>
        <v>0</v>
      </c>
      <c r="I29" s="280">
        <f>SUM(B29:H29)</f>
        <v>68589</v>
      </c>
    </row>
    <row r="30" spans="1:9" ht="18.75" customHeight="1" x14ac:dyDescent="0.3">
      <c r="A30" s="287" t="s">
        <v>218</v>
      </c>
      <c r="B30" s="279">
        <f t="shared" ref="B30:G30" si="6">SUM(B14+B29)</f>
        <v>0</v>
      </c>
      <c r="C30" s="279">
        <f t="shared" si="6"/>
        <v>0</v>
      </c>
      <c r="D30" s="279">
        <f t="shared" si="6"/>
        <v>0</v>
      </c>
      <c r="E30" s="279">
        <f t="shared" si="6"/>
        <v>0</v>
      </c>
      <c r="F30" s="279">
        <f t="shared" si="6"/>
        <v>0</v>
      </c>
      <c r="G30" s="279">
        <f t="shared" si="6"/>
        <v>68589</v>
      </c>
      <c r="H30" s="279">
        <f>SUM(H14+H29)</f>
        <v>793116.24999999988</v>
      </c>
      <c r="I30" s="280">
        <f>SUM(B30:H30)</f>
        <v>861705.24999999988</v>
      </c>
    </row>
    <row r="31" spans="1:9" ht="18.75" customHeight="1" x14ac:dyDescent="0.3">
      <c r="A31" s="287" t="s">
        <v>219</v>
      </c>
      <c r="B31" s="279">
        <f t="shared" ref="B31:H31" si="7">SUM(B15-B29)</f>
        <v>0</v>
      </c>
      <c r="C31" s="279">
        <f t="shared" si="7"/>
        <v>474800</v>
      </c>
      <c r="D31" s="279">
        <f t="shared" si="7"/>
        <v>335000</v>
      </c>
      <c r="E31" s="279">
        <f t="shared" si="7"/>
        <v>25000</v>
      </c>
      <c r="F31" s="279">
        <f t="shared" si="7"/>
        <v>124000</v>
      </c>
      <c r="G31" s="279">
        <f t="shared" si="7"/>
        <v>508711</v>
      </c>
      <c r="H31" s="279">
        <f t="shared" si="7"/>
        <v>30007883.75</v>
      </c>
      <c r="I31" s="280">
        <f>SUM(B31:H31)</f>
        <v>31475394.75</v>
      </c>
    </row>
    <row r="32" spans="1:9" ht="18.75" customHeight="1" x14ac:dyDescent="0.3">
      <c r="A32" s="284" t="s">
        <v>220</v>
      </c>
      <c r="B32" s="195"/>
      <c r="C32" s="195"/>
      <c r="D32" s="195"/>
      <c r="E32" s="195"/>
      <c r="F32" s="195"/>
      <c r="G32" s="195"/>
      <c r="H32" s="195"/>
      <c r="I32" s="145"/>
    </row>
    <row r="33" spans="1:10" ht="18.75" customHeight="1" x14ac:dyDescent="0.3">
      <c r="A33" s="728">
        <v>45628</v>
      </c>
      <c r="B33" s="195"/>
      <c r="C33" s="195"/>
      <c r="D33" s="195">
        <v>2535</v>
      </c>
      <c r="E33" s="195"/>
      <c r="F33" s="195"/>
      <c r="G33" s="195"/>
      <c r="H33" s="195"/>
      <c r="I33" s="145">
        <f t="shared" ref="I33:I39" si="8">SUM(B33:H33)</f>
        <v>2535</v>
      </c>
    </row>
    <row r="34" spans="1:10" ht="18.75" customHeight="1" x14ac:dyDescent="0.3">
      <c r="A34" s="728">
        <v>45637</v>
      </c>
      <c r="B34" s="195"/>
      <c r="C34" s="195"/>
      <c r="D34" s="195"/>
      <c r="E34" s="195"/>
      <c r="F34" s="195"/>
      <c r="G34" s="195">
        <v>18000</v>
      </c>
      <c r="H34" s="195"/>
      <c r="I34" s="145">
        <f t="shared" si="8"/>
        <v>18000</v>
      </c>
    </row>
    <row r="35" spans="1:10" ht="18.75" customHeight="1" x14ac:dyDescent="0.3">
      <c r="A35" s="728">
        <v>45643</v>
      </c>
      <c r="B35" s="195"/>
      <c r="C35" s="195"/>
      <c r="D35" s="195"/>
      <c r="E35" s="195"/>
      <c r="F35" s="195"/>
      <c r="G35" s="195"/>
      <c r="H35" s="195">
        <v>17926.97</v>
      </c>
      <c r="I35" s="145">
        <f t="shared" si="8"/>
        <v>17926.97</v>
      </c>
    </row>
    <row r="36" spans="1:10" ht="18.75" customHeight="1" x14ac:dyDescent="0.3">
      <c r="A36" s="728">
        <v>45643</v>
      </c>
      <c r="B36" s="195"/>
      <c r="C36" s="195"/>
      <c r="D36" s="195"/>
      <c r="E36" s="195"/>
      <c r="F36" s="195"/>
      <c r="G36" s="195">
        <v>16200</v>
      </c>
      <c r="H36" s="195"/>
      <c r="I36" s="145">
        <f t="shared" si="8"/>
        <v>16200</v>
      </c>
    </row>
    <row r="37" spans="1:10" ht="18.75" customHeight="1" x14ac:dyDescent="0.3">
      <c r="A37" s="728">
        <v>45643</v>
      </c>
      <c r="B37" s="195"/>
      <c r="C37" s="195"/>
      <c r="D37" s="195"/>
      <c r="E37" s="195"/>
      <c r="F37" s="195"/>
      <c r="G37" s="195">
        <v>30400</v>
      </c>
      <c r="H37" s="195"/>
      <c r="I37" s="145">
        <f t="shared" si="8"/>
        <v>30400</v>
      </c>
    </row>
    <row r="38" spans="1:10" s="997" customFormat="1" ht="18.75" customHeight="1" x14ac:dyDescent="0.3">
      <c r="A38" s="728">
        <v>45644</v>
      </c>
      <c r="B38" s="195"/>
      <c r="C38" s="195">
        <v>19000</v>
      </c>
      <c r="D38" s="195"/>
      <c r="E38" s="195"/>
      <c r="F38" s="195"/>
      <c r="G38" s="195"/>
      <c r="H38" s="195"/>
      <c r="I38" s="145">
        <f t="shared" si="8"/>
        <v>19000</v>
      </c>
    </row>
    <row r="39" spans="1:10" ht="18.75" customHeight="1" x14ac:dyDescent="0.3">
      <c r="D39" s="195"/>
      <c r="E39" s="195"/>
      <c r="F39" s="195"/>
      <c r="G39" s="195"/>
      <c r="H39" s="195"/>
      <c r="I39" s="145">
        <f t="shared" si="8"/>
        <v>0</v>
      </c>
    </row>
    <row r="40" spans="1:10" ht="15.75" customHeight="1" x14ac:dyDescent="0.3">
      <c r="A40" s="281"/>
      <c r="B40" s="195"/>
      <c r="C40" s="195"/>
      <c r="D40" s="195"/>
      <c r="E40" s="195"/>
      <c r="F40" s="195"/>
      <c r="G40" s="195"/>
      <c r="H40" s="195"/>
      <c r="I40" s="145"/>
    </row>
    <row r="41" spans="1:10" ht="18.75" customHeight="1" x14ac:dyDescent="0.3">
      <c r="A41" s="287" t="s">
        <v>221</v>
      </c>
      <c r="B41" s="279">
        <f t="shared" ref="B41:H41" si="9">SUM(B32:B40)</f>
        <v>0</v>
      </c>
      <c r="C41" s="279">
        <f t="shared" si="9"/>
        <v>19000</v>
      </c>
      <c r="D41" s="279">
        <f t="shared" si="9"/>
        <v>2535</v>
      </c>
      <c r="E41" s="279">
        <f t="shared" si="9"/>
        <v>0</v>
      </c>
      <c r="F41" s="279">
        <f t="shared" si="9"/>
        <v>0</v>
      </c>
      <c r="G41" s="279">
        <f t="shared" si="9"/>
        <v>64600</v>
      </c>
      <c r="H41" s="279">
        <f t="shared" si="9"/>
        <v>17926.97</v>
      </c>
      <c r="I41" s="280">
        <f>SUM(B41:H41)</f>
        <v>104061.97</v>
      </c>
    </row>
    <row r="42" spans="1:10" ht="18.75" customHeight="1" x14ac:dyDescent="0.3">
      <c r="A42" s="287" t="s">
        <v>222</v>
      </c>
      <c r="B42" s="279">
        <f t="shared" ref="B42:G42" si="10">SUM(B30+B41)</f>
        <v>0</v>
      </c>
      <c r="C42" s="279">
        <f t="shared" si="10"/>
        <v>19000</v>
      </c>
      <c r="D42" s="279">
        <f t="shared" si="10"/>
        <v>2535</v>
      </c>
      <c r="E42" s="279">
        <f t="shared" si="10"/>
        <v>0</v>
      </c>
      <c r="F42" s="279">
        <f t="shared" si="10"/>
        <v>0</v>
      </c>
      <c r="G42" s="279">
        <f t="shared" si="10"/>
        <v>133189</v>
      </c>
      <c r="H42" s="279">
        <f>SUM(H30+H41)</f>
        <v>811043.21999999986</v>
      </c>
      <c r="I42" s="280">
        <f>SUM(B42:H42)</f>
        <v>965767.21999999986</v>
      </c>
    </row>
    <row r="43" spans="1:10" ht="18.75" customHeight="1" x14ac:dyDescent="0.3">
      <c r="A43" s="287" t="s">
        <v>223</v>
      </c>
      <c r="B43" s="279">
        <f t="shared" ref="B43:H43" si="11">SUM(B31-B41)</f>
        <v>0</v>
      </c>
      <c r="C43" s="279">
        <f t="shared" si="11"/>
        <v>455800</v>
      </c>
      <c r="D43" s="279">
        <f t="shared" si="11"/>
        <v>332465</v>
      </c>
      <c r="E43" s="279">
        <f t="shared" si="11"/>
        <v>25000</v>
      </c>
      <c r="F43" s="279">
        <f t="shared" si="11"/>
        <v>124000</v>
      </c>
      <c r="G43" s="279">
        <f t="shared" si="11"/>
        <v>444111</v>
      </c>
      <c r="H43" s="279">
        <f t="shared" si="11"/>
        <v>29989956.780000001</v>
      </c>
      <c r="I43" s="280">
        <f>SUM(B43:H43)</f>
        <v>31371332.780000001</v>
      </c>
    </row>
    <row r="44" spans="1:10" ht="18.75" customHeight="1" x14ac:dyDescent="0.3">
      <c r="A44" s="284" t="s">
        <v>224</v>
      </c>
      <c r="B44" s="195"/>
      <c r="C44" s="195"/>
      <c r="D44" s="195"/>
      <c r="E44" s="195"/>
      <c r="F44" s="195"/>
      <c r="G44" s="195"/>
      <c r="H44" s="195"/>
      <c r="I44" s="145"/>
    </row>
    <row r="45" spans="1:10" ht="15" customHeight="1" x14ac:dyDescent="0.3">
      <c r="A45" s="281">
        <v>243992</v>
      </c>
      <c r="H45" s="137">
        <v>25000</v>
      </c>
      <c r="I45" s="145">
        <f t="shared" ref="I45:I50" si="12">SUM(B45:H45)</f>
        <v>25000</v>
      </c>
      <c r="J45" s="272" t="s">
        <v>1773</v>
      </c>
    </row>
    <row r="46" spans="1:10" ht="15" customHeight="1" x14ac:dyDescent="0.3">
      <c r="A46" s="281">
        <v>243997</v>
      </c>
      <c r="D46" s="137">
        <v>13850</v>
      </c>
      <c r="I46" s="145">
        <f t="shared" si="12"/>
        <v>13850</v>
      </c>
      <c r="J46" s="272" t="s">
        <v>1784</v>
      </c>
    </row>
    <row r="47" spans="1:10" ht="15" customHeight="1" x14ac:dyDescent="0.3">
      <c r="A47" s="281">
        <v>244003</v>
      </c>
      <c r="G47" s="137">
        <v>4200</v>
      </c>
      <c r="I47" s="145">
        <f t="shared" si="12"/>
        <v>4200</v>
      </c>
      <c r="J47" s="272" t="s">
        <v>1791</v>
      </c>
    </row>
    <row r="48" spans="1:10" ht="15" customHeight="1" x14ac:dyDescent="0.3">
      <c r="A48" s="281">
        <v>244003</v>
      </c>
      <c r="H48" s="137">
        <v>6300</v>
      </c>
      <c r="I48" s="145">
        <f t="shared" si="12"/>
        <v>6300</v>
      </c>
      <c r="J48" s="272" t="s">
        <v>1792</v>
      </c>
    </row>
    <row r="49" spans="1:10" ht="15" customHeight="1" x14ac:dyDescent="0.3">
      <c r="A49" s="281">
        <v>244006</v>
      </c>
      <c r="C49" s="137">
        <v>9000</v>
      </c>
      <c r="I49" s="145">
        <f t="shared" si="12"/>
        <v>9000</v>
      </c>
      <c r="J49" s="272" t="s">
        <v>1813</v>
      </c>
    </row>
    <row r="50" spans="1:10" ht="15" customHeight="1" x14ac:dyDescent="0.3">
      <c r="A50" s="281">
        <v>244006</v>
      </c>
      <c r="G50" s="137">
        <v>53140</v>
      </c>
      <c r="I50" s="145">
        <f t="shared" si="12"/>
        <v>53140</v>
      </c>
      <c r="J50" s="272" t="s">
        <v>1814</v>
      </c>
    </row>
    <row r="52" spans="1:10" ht="18.75" customHeight="1" x14ac:dyDescent="0.3">
      <c r="A52" s="287" t="s">
        <v>225</v>
      </c>
      <c r="B52" s="279">
        <f t="shared" ref="B52:H52" si="13">SUM(B44:B51)</f>
        <v>0</v>
      </c>
      <c r="C52" s="279">
        <f t="shared" si="13"/>
        <v>9000</v>
      </c>
      <c r="D52" s="279">
        <f t="shared" si="13"/>
        <v>13850</v>
      </c>
      <c r="E52" s="279">
        <f t="shared" si="13"/>
        <v>0</v>
      </c>
      <c r="F52" s="279">
        <f t="shared" si="13"/>
        <v>0</v>
      </c>
      <c r="G52" s="279">
        <f t="shared" si="13"/>
        <v>57340</v>
      </c>
      <c r="H52" s="279">
        <f t="shared" si="13"/>
        <v>31300</v>
      </c>
      <c r="I52" s="280">
        <f>SUM(B52:H52)</f>
        <v>111490</v>
      </c>
    </row>
    <row r="53" spans="1:10" ht="18.75" customHeight="1" x14ac:dyDescent="0.3">
      <c r="A53" s="287" t="s">
        <v>226</v>
      </c>
      <c r="B53" s="279">
        <f t="shared" ref="B53:H53" si="14">SUM(B42+B52)</f>
        <v>0</v>
      </c>
      <c r="C53" s="279">
        <f t="shared" si="14"/>
        <v>28000</v>
      </c>
      <c r="D53" s="279">
        <f t="shared" si="14"/>
        <v>16385</v>
      </c>
      <c r="E53" s="279">
        <f t="shared" si="14"/>
        <v>0</v>
      </c>
      <c r="F53" s="279">
        <f t="shared" si="14"/>
        <v>0</v>
      </c>
      <c r="G53" s="279">
        <f t="shared" si="14"/>
        <v>190529</v>
      </c>
      <c r="H53" s="279">
        <f t="shared" si="14"/>
        <v>842343.21999999986</v>
      </c>
      <c r="I53" s="280">
        <f>SUM(B53:H53)</f>
        <v>1077257.2199999997</v>
      </c>
    </row>
    <row r="54" spans="1:10" ht="18.75" customHeight="1" x14ac:dyDescent="0.3">
      <c r="A54" s="287" t="s">
        <v>227</v>
      </c>
      <c r="B54" s="279">
        <f t="shared" ref="B54:H54" si="15">SUM(B43-B52)</f>
        <v>0</v>
      </c>
      <c r="C54" s="279">
        <f t="shared" si="15"/>
        <v>446800</v>
      </c>
      <c r="D54" s="279">
        <f t="shared" si="15"/>
        <v>318615</v>
      </c>
      <c r="E54" s="279">
        <f t="shared" si="15"/>
        <v>25000</v>
      </c>
      <c r="F54" s="279">
        <f t="shared" si="15"/>
        <v>124000</v>
      </c>
      <c r="G54" s="279">
        <f t="shared" si="15"/>
        <v>386771</v>
      </c>
      <c r="H54" s="279">
        <f t="shared" si="15"/>
        <v>29958656.780000001</v>
      </c>
      <c r="I54" s="280">
        <f>SUM(B54:H54)</f>
        <v>31259842.780000001</v>
      </c>
    </row>
    <row r="55" spans="1:10" ht="18.75" customHeight="1" x14ac:dyDescent="0.3">
      <c r="A55" s="284" t="s">
        <v>228</v>
      </c>
      <c r="B55" s="195"/>
      <c r="C55" s="195"/>
      <c r="D55" s="195"/>
      <c r="E55" s="195"/>
      <c r="F55" s="195"/>
      <c r="G55" s="195"/>
      <c r="H55" s="195"/>
      <c r="I55" s="145"/>
    </row>
    <row r="66" spans="1:9" ht="18.75" customHeight="1" x14ac:dyDescent="0.3">
      <c r="A66" s="287" t="s">
        <v>229</v>
      </c>
      <c r="B66" s="279">
        <f t="shared" ref="B66:H66" si="16">SUM(B55:B65)</f>
        <v>0</v>
      </c>
      <c r="C66" s="279">
        <f t="shared" si="16"/>
        <v>0</v>
      </c>
      <c r="D66" s="279">
        <f t="shared" si="16"/>
        <v>0</v>
      </c>
      <c r="E66" s="279">
        <f t="shared" si="16"/>
        <v>0</v>
      </c>
      <c r="F66" s="279">
        <f t="shared" si="16"/>
        <v>0</v>
      </c>
      <c r="G66" s="279">
        <f t="shared" si="16"/>
        <v>0</v>
      </c>
      <c r="H66" s="279">
        <f t="shared" si="16"/>
        <v>0</v>
      </c>
      <c r="I66" s="280">
        <f>SUM(B66:H66)</f>
        <v>0</v>
      </c>
    </row>
    <row r="67" spans="1:9" ht="18.75" customHeight="1" x14ac:dyDescent="0.3">
      <c r="A67" s="287" t="s">
        <v>230</v>
      </c>
      <c r="B67" s="279">
        <f t="shared" ref="B67:H67" si="17">SUM(B53+B66)</f>
        <v>0</v>
      </c>
      <c r="C67" s="279">
        <f t="shared" si="17"/>
        <v>28000</v>
      </c>
      <c r="D67" s="279">
        <f t="shared" si="17"/>
        <v>16385</v>
      </c>
      <c r="E67" s="279">
        <f t="shared" si="17"/>
        <v>0</v>
      </c>
      <c r="F67" s="279">
        <f t="shared" si="17"/>
        <v>0</v>
      </c>
      <c r="G67" s="279">
        <f t="shared" si="17"/>
        <v>190529</v>
      </c>
      <c r="H67" s="279">
        <f t="shared" si="17"/>
        <v>842343.21999999986</v>
      </c>
      <c r="I67" s="280">
        <f>SUM(B67:H67)</f>
        <v>1077257.2199999997</v>
      </c>
    </row>
    <row r="68" spans="1:9" ht="18.75" customHeight="1" x14ac:dyDescent="0.3">
      <c r="A68" s="287" t="s">
        <v>231</v>
      </c>
      <c r="B68" s="279">
        <f t="shared" ref="B68:H68" si="18">SUM(B54-B66)</f>
        <v>0</v>
      </c>
      <c r="C68" s="279">
        <f t="shared" si="18"/>
        <v>446800</v>
      </c>
      <c r="D68" s="279">
        <f t="shared" si="18"/>
        <v>318615</v>
      </c>
      <c r="E68" s="279">
        <f t="shared" si="18"/>
        <v>25000</v>
      </c>
      <c r="F68" s="279">
        <f t="shared" si="18"/>
        <v>124000</v>
      </c>
      <c r="G68" s="279">
        <f t="shared" si="18"/>
        <v>386771</v>
      </c>
      <c r="H68" s="279">
        <f t="shared" si="18"/>
        <v>29958656.780000001</v>
      </c>
      <c r="I68" s="280">
        <f>SUM(B68:H68)</f>
        <v>31259842.780000001</v>
      </c>
    </row>
    <row r="69" spans="1:9" ht="18.75" customHeight="1" x14ac:dyDescent="0.3">
      <c r="A69" s="284" t="s">
        <v>232</v>
      </c>
      <c r="B69" s="195"/>
      <c r="C69" s="195"/>
      <c r="D69" s="195"/>
      <c r="E69" s="195"/>
      <c r="F69" s="195"/>
      <c r="G69" s="195"/>
      <c r="H69" s="195"/>
      <c r="I69" s="145"/>
    </row>
    <row r="83" spans="1:9" ht="18.75" customHeight="1" x14ac:dyDescent="0.3">
      <c r="A83" s="287" t="s">
        <v>233</v>
      </c>
      <c r="B83" s="279">
        <f t="shared" ref="B83:H83" si="19">SUM(B69:B82)</f>
        <v>0</v>
      </c>
      <c r="C83" s="279">
        <f t="shared" si="19"/>
        <v>0</v>
      </c>
      <c r="D83" s="279">
        <f t="shared" si="19"/>
        <v>0</v>
      </c>
      <c r="E83" s="279">
        <f t="shared" si="19"/>
        <v>0</v>
      </c>
      <c r="F83" s="279">
        <f t="shared" si="19"/>
        <v>0</v>
      </c>
      <c r="G83" s="279">
        <f t="shared" si="19"/>
        <v>0</v>
      </c>
      <c r="H83" s="279">
        <f t="shared" si="19"/>
        <v>0</v>
      </c>
      <c r="I83" s="280">
        <f>SUM(B83:H83)</f>
        <v>0</v>
      </c>
    </row>
    <row r="84" spans="1:9" ht="18.75" customHeight="1" x14ac:dyDescent="0.3">
      <c r="A84" s="287" t="s">
        <v>234</v>
      </c>
      <c r="B84" s="279">
        <f t="shared" ref="B84:H84" si="20">SUM(B67+B83)</f>
        <v>0</v>
      </c>
      <c r="C84" s="279">
        <f t="shared" si="20"/>
        <v>28000</v>
      </c>
      <c r="D84" s="279">
        <f t="shared" si="20"/>
        <v>16385</v>
      </c>
      <c r="E84" s="279">
        <f t="shared" si="20"/>
        <v>0</v>
      </c>
      <c r="F84" s="279">
        <f t="shared" si="20"/>
        <v>0</v>
      </c>
      <c r="G84" s="279">
        <f t="shared" si="20"/>
        <v>190529</v>
      </c>
      <c r="H84" s="279">
        <f t="shared" si="20"/>
        <v>842343.21999999986</v>
      </c>
      <c r="I84" s="280">
        <f>SUM(B84:H84)</f>
        <v>1077257.2199999997</v>
      </c>
    </row>
    <row r="85" spans="1:9" ht="18.75" customHeight="1" x14ac:dyDescent="0.3">
      <c r="A85" s="287" t="s">
        <v>235</v>
      </c>
      <c r="B85" s="279">
        <f t="shared" ref="B85:H85" si="21">SUM(B68-B83)</f>
        <v>0</v>
      </c>
      <c r="C85" s="279">
        <f t="shared" si="21"/>
        <v>446800</v>
      </c>
      <c r="D85" s="279">
        <f t="shared" si="21"/>
        <v>318615</v>
      </c>
      <c r="E85" s="279">
        <f t="shared" si="21"/>
        <v>25000</v>
      </c>
      <c r="F85" s="279">
        <f t="shared" si="21"/>
        <v>124000</v>
      </c>
      <c r="G85" s="279">
        <f t="shared" si="21"/>
        <v>386771</v>
      </c>
      <c r="H85" s="279">
        <f t="shared" si="21"/>
        <v>29958656.780000001</v>
      </c>
      <c r="I85" s="280">
        <f>SUM(B85:H85)</f>
        <v>31259842.780000001</v>
      </c>
    </row>
    <row r="86" spans="1:9" ht="18.75" customHeight="1" x14ac:dyDescent="0.3">
      <c r="A86" s="284" t="s">
        <v>236</v>
      </c>
      <c r="B86" s="195"/>
      <c r="C86" s="195"/>
      <c r="D86" s="195"/>
      <c r="E86" s="195"/>
      <c r="F86" s="195"/>
      <c r="G86" s="195"/>
      <c r="H86" s="195"/>
      <c r="I86" s="145"/>
    </row>
    <row r="106" spans="1:10" ht="18.75" customHeight="1" x14ac:dyDescent="0.3">
      <c r="A106" s="287" t="s">
        <v>237</v>
      </c>
      <c r="B106" s="279">
        <f t="shared" ref="B106:H106" si="22">SUM(B86:B105)</f>
        <v>0</v>
      </c>
      <c r="C106" s="279">
        <f t="shared" si="22"/>
        <v>0</v>
      </c>
      <c r="D106" s="279">
        <f t="shared" si="22"/>
        <v>0</v>
      </c>
      <c r="E106" s="279">
        <f t="shared" si="22"/>
        <v>0</v>
      </c>
      <c r="F106" s="279">
        <f t="shared" si="22"/>
        <v>0</v>
      </c>
      <c r="G106" s="279">
        <f t="shared" si="22"/>
        <v>0</v>
      </c>
      <c r="H106" s="279">
        <f t="shared" si="22"/>
        <v>0</v>
      </c>
      <c r="I106" s="280">
        <f>SUM(B106:H106)</f>
        <v>0</v>
      </c>
      <c r="J106" s="195"/>
    </row>
    <row r="107" spans="1:10" ht="18.75" customHeight="1" x14ac:dyDescent="0.3">
      <c r="A107" s="287" t="s">
        <v>238</v>
      </c>
      <c r="B107" s="279">
        <f t="shared" ref="B107:H107" si="23">SUM(B84+B106)</f>
        <v>0</v>
      </c>
      <c r="C107" s="279">
        <f t="shared" si="23"/>
        <v>28000</v>
      </c>
      <c r="D107" s="279">
        <f t="shared" si="23"/>
        <v>16385</v>
      </c>
      <c r="E107" s="279">
        <f t="shared" si="23"/>
        <v>0</v>
      </c>
      <c r="F107" s="279">
        <f t="shared" si="23"/>
        <v>0</v>
      </c>
      <c r="G107" s="279">
        <f t="shared" si="23"/>
        <v>190529</v>
      </c>
      <c r="H107" s="279">
        <f t="shared" si="23"/>
        <v>842343.21999999986</v>
      </c>
      <c r="I107" s="280">
        <f>SUM(B107:H107)</f>
        <v>1077257.2199999997</v>
      </c>
      <c r="J107" s="195"/>
    </row>
    <row r="108" spans="1:10" ht="18.75" customHeight="1" x14ac:dyDescent="0.3">
      <c r="A108" s="287" t="s">
        <v>239</v>
      </c>
      <c r="B108" s="279">
        <f>SUM(B85-B106)+1286000</f>
        <v>1286000</v>
      </c>
      <c r="C108" s="279">
        <f>SUM(C85-C106)+950000</f>
        <v>1396800</v>
      </c>
      <c r="D108" s="279">
        <f>SUM(D85-D106)+500000</f>
        <v>818615</v>
      </c>
      <c r="E108" s="279">
        <f>SUM(E85-E106)+500000</f>
        <v>525000</v>
      </c>
      <c r="F108" s="279">
        <f>SUM(F85-F106)+300000</f>
        <v>424000</v>
      </c>
      <c r="G108" s="279">
        <f>SUM(G85-G106)+1712200</f>
        <v>2098971</v>
      </c>
      <c r="H108" s="279">
        <f>SUM(H85-H106)+17120000</f>
        <v>47078656.780000001</v>
      </c>
      <c r="I108" s="280">
        <f>SUM(B108:H108)</f>
        <v>53628042.780000001</v>
      </c>
      <c r="J108" s="195"/>
    </row>
    <row r="109" spans="1:10" ht="18.75" customHeight="1" x14ac:dyDescent="0.3">
      <c r="A109" s="284" t="s">
        <v>240</v>
      </c>
      <c r="B109" s="195"/>
      <c r="C109" s="195"/>
      <c r="D109" s="195"/>
      <c r="E109" s="195"/>
      <c r="F109" s="195"/>
      <c r="G109" s="195"/>
      <c r="H109" s="195"/>
      <c r="I109" s="145"/>
      <c r="J109" s="285"/>
    </row>
    <row r="110" spans="1:10" ht="18.75" customHeight="1" x14ac:dyDescent="0.3">
      <c r="A110" s="288">
        <v>45432</v>
      </c>
      <c r="B110" s="981"/>
      <c r="C110" s="981"/>
      <c r="D110" s="981"/>
      <c r="E110" s="981"/>
      <c r="F110" s="982"/>
      <c r="G110" s="981"/>
      <c r="H110" s="981"/>
      <c r="I110" s="289"/>
      <c r="J110" s="290" t="s">
        <v>940</v>
      </c>
    </row>
    <row r="111" spans="1:10" ht="18.75" customHeight="1" x14ac:dyDescent="0.3">
      <c r="A111" s="286"/>
      <c r="B111" s="979"/>
      <c r="C111" s="979"/>
      <c r="D111" s="979"/>
      <c r="E111" s="979"/>
      <c r="F111" s="979"/>
      <c r="G111" s="979"/>
      <c r="H111" s="979"/>
      <c r="I111" s="145"/>
      <c r="J111" s="195"/>
    </row>
    <row r="112" spans="1:10" ht="18.75" customHeight="1" x14ac:dyDescent="0.3">
      <c r="A112" s="286"/>
      <c r="B112" s="979"/>
      <c r="C112" s="979"/>
      <c r="D112" s="979"/>
      <c r="E112" s="979"/>
      <c r="F112" s="979"/>
      <c r="G112" s="979"/>
      <c r="H112" s="979"/>
      <c r="I112" s="145"/>
      <c r="J112" s="138"/>
    </row>
    <row r="113" spans="1:10" ht="18.75" customHeight="1" x14ac:dyDescent="0.3">
      <c r="A113" s="286"/>
      <c r="B113" s="979"/>
      <c r="C113" s="979"/>
      <c r="D113" s="979"/>
      <c r="E113" s="979"/>
      <c r="F113" s="979"/>
      <c r="G113" s="979"/>
      <c r="H113" s="979"/>
      <c r="I113" s="145"/>
      <c r="J113" s="136"/>
    </row>
    <row r="114" spans="1:10" ht="18.75" customHeight="1" x14ac:dyDescent="0.3">
      <c r="A114" s="286"/>
      <c r="B114" s="979"/>
      <c r="C114" s="979"/>
      <c r="D114" s="979"/>
      <c r="E114" s="979"/>
      <c r="F114" s="979"/>
      <c r="G114" s="979"/>
      <c r="H114" s="979"/>
      <c r="I114" s="145"/>
      <c r="J114" s="136"/>
    </row>
    <row r="115" spans="1:10" ht="18.75" customHeight="1" x14ac:dyDescent="0.3">
      <c r="A115" s="286"/>
      <c r="B115" s="195"/>
      <c r="C115" s="195"/>
      <c r="D115" s="195"/>
      <c r="E115" s="195"/>
      <c r="F115" s="195"/>
      <c r="G115" s="195"/>
      <c r="H115" s="195"/>
      <c r="I115" s="145"/>
      <c r="J115" s="136"/>
    </row>
    <row r="116" spans="1:10" ht="18.75" customHeight="1" x14ac:dyDescent="0.3">
      <c r="A116" s="286"/>
      <c r="B116" s="195"/>
      <c r="C116" s="195"/>
      <c r="D116" s="195"/>
      <c r="E116" s="195"/>
      <c r="F116" s="195"/>
      <c r="G116" s="195"/>
      <c r="H116" s="195"/>
      <c r="I116" s="145"/>
      <c r="J116" s="138"/>
    </row>
    <row r="117" spans="1:10" ht="15.75" customHeight="1" x14ac:dyDescent="0.3">
      <c r="A117" s="281"/>
      <c r="B117" s="195"/>
      <c r="C117" s="195"/>
      <c r="D117" s="195"/>
      <c r="E117" s="195"/>
      <c r="F117" s="195"/>
      <c r="G117" s="195"/>
      <c r="H117" s="195"/>
      <c r="I117" s="145"/>
      <c r="J117" s="136"/>
    </row>
    <row r="118" spans="1:10" ht="18.75" customHeight="1" x14ac:dyDescent="0.3">
      <c r="A118" s="287" t="s">
        <v>241</v>
      </c>
      <c r="B118" s="279">
        <f t="shared" ref="B118:H118" si="24">SUM(B109:B117)</f>
        <v>0</v>
      </c>
      <c r="C118" s="279">
        <f t="shared" si="24"/>
        <v>0</v>
      </c>
      <c r="D118" s="279">
        <f t="shared" si="24"/>
        <v>0</v>
      </c>
      <c r="E118" s="279">
        <f t="shared" si="24"/>
        <v>0</v>
      </c>
      <c r="F118" s="279">
        <f t="shared" si="24"/>
        <v>0</v>
      </c>
      <c r="G118" s="279">
        <f t="shared" si="24"/>
        <v>0</v>
      </c>
      <c r="H118" s="279">
        <f t="shared" si="24"/>
        <v>0</v>
      </c>
      <c r="I118" s="280">
        <f>SUM(B118:H118)</f>
        <v>0</v>
      </c>
      <c r="J118" s="195"/>
    </row>
    <row r="119" spans="1:10" ht="18.75" customHeight="1" x14ac:dyDescent="0.3">
      <c r="A119" s="287" t="s">
        <v>242</v>
      </c>
      <c r="B119" s="279">
        <f t="shared" ref="B119:H119" si="25">SUM(B107+B118)</f>
        <v>0</v>
      </c>
      <c r="C119" s="279">
        <f t="shared" si="25"/>
        <v>28000</v>
      </c>
      <c r="D119" s="279">
        <f t="shared" si="25"/>
        <v>16385</v>
      </c>
      <c r="E119" s="279">
        <f t="shared" si="25"/>
        <v>0</v>
      </c>
      <c r="F119" s="279">
        <f t="shared" si="25"/>
        <v>0</v>
      </c>
      <c r="G119" s="279">
        <f t="shared" si="25"/>
        <v>190529</v>
      </c>
      <c r="H119" s="279">
        <f t="shared" si="25"/>
        <v>842343.21999999986</v>
      </c>
      <c r="I119" s="280">
        <f>SUM(B119:H119)</f>
        <v>1077257.2199999997</v>
      </c>
      <c r="J119" s="195"/>
    </row>
    <row r="120" spans="1:10" ht="18.75" customHeight="1" x14ac:dyDescent="0.3">
      <c r="A120" s="287" t="s">
        <v>243</v>
      </c>
      <c r="B120" s="279">
        <f t="shared" ref="B120:H120" si="26">SUM(B108-B118)</f>
        <v>1286000</v>
      </c>
      <c r="C120" s="279">
        <f t="shared" si="26"/>
        <v>1396800</v>
      </c>
      <c r="D120" s="279">
        <f t="shared" si="26"/>
        <v>818615</v>
      </c>
      <c r="E120" s="279">
        <f t="shared" si="26"/>
        <v>525000</v>
      </c>
      <c r="F120" s="279">
        <f t="shared" si="26"/>
        <v>424000</v>
      </c>
      <c r="G120" s="279">
        <f t="shared" si="26"/>
        <v>2098971</v>
      </c>
      <c r="H120" s="279">
        <f t="shared" si="26"/>
        <v>47078656.780000001</v>
      </c>
      <c r="I120" s="280">
        <f>SUM(B120:H120)</f>
        <v>53628042.780000001</v>
      </c>
      <c r="J120" s="195"/>
    </row>
    <row r="121" spans="1:10" ht="18.75" customHeight="1" x14ac:dyDescent="0.3">
      <c r="A121" s="284" t="s">
        <v>244</v>
      </c>
      <c r="B121" s="195"/>
      <c r="C121" s="195"/>
      <c r="D121" s="195"/>
      <c r="E121" s="195"/>
      <c r="F121" s="195"/>
      <c r="G121" s="195"/>
      <c r="H121" s="195"/>
      <c r="I121" s="145"/>
      <c r="J121" s="285"/>
    </row>
    <row r="122" spans="1:10" ht="18.75" customHeight="1" x14ac:dyDescent="0.3">
      <c r="A122" s="286">
        <v>45453</v>
      </c>
      <c r="B122" s="195"/>
      <c r="C122" s="195"/>
      <c r="D122" s="195"/>
      <c r="E122" s="195"/>
      <c r="F122" s="195"/>
      <c r="G122" s="195"/>
      <c r="H122" s="195"/>
      <c r="I122" s="145">
        <f t="shared" ref="I122:I130" si="27">SUM(B122:H122)</f>
        <v>0</v>
      </c>
      <c r="J122" s="195" t="s">
        <v>941</v>
      </c>
    </row>
    <row r="123" spans="1:10" ht="18.75" customHeight="1" x14ac:dyDescent="0.3">
      <c r="A123" s="291" t="s">
        <v>321</v>
      </c>
      <c r="B123" s="195"/>
      <c r="C123" s="195"/>
      <c r="D123" s="195"/>
      <c r="E123" s="195"/>
      <c r="F123" s="195"/>
      <c r="G123" s="195"/>
      <c r="H123" s="195"/>
      <c r="I123" s="145">
        <f t="shared" si="27"/>
        <v>0</v>
      </c>
      <c r="J123" s="195" t="s">
        <v>942</v>
      </c>
    </row>
    <row r="124" spans="1:10" ht="18.75" customHeight="1" x14ac:dyDescent="0.3">
      <c r="A124" s="291" t="s">
        <v>263</v>
      </c>
      <c r="B124" s="195"/>
      <c r="C124" s="195"/>
      <c r="D124" s="195"/>
      <c r="E124" s="195"/>
      <c r="F124" s="195"/>
      <c r="G124" s="195"/>
      <c r="H124" s="195"/>
      <c r="I124" s="145">
        <f t="shared" si="27"/>
        <v>0</v>
      </c>
      <c r="J124" s="136" t="s">
        <v>943</v>
      </c>
    </row>
    <row r="125" spans="1:10" ht="18.75" customHeight="1" x14ac:dyDescent="0.3">
      <c r="A125" s="291">
        <v>45463</v>
      </c>
      <c r="B125" s="195"/>
      <c r="C125" s="195"/>
      <c r="D125" s="195"/>
      <c r="E125" s="195"/>
      <c r="F125" s="195"/>
      <c r="G125" s="195"/>
      <c r="H125" s="195"/>
      <c r="I125" s="145">
        <f t="shared" si="27"/>
        <v>0</v>
      </c>
      <c r="J125" s="136" t="s">
        <v>944</v>
      </c>
    </row>
    <row r="126" spans="1:10" ht="18.75" customHeight="1" x14ac:dyDescent="0.3">
      <c r="A126" s="291">
        <v>45464</v>
      </c>
      <c r="B126" s="195"/>
      <c r="C126" s="195"/>
      <c r="D126" s="195"/>
      <c r="E126" s="195"/>
      <c r="F126" s="195"/>
      <c r="G126" s="195"/>
      <c r="H126" s="195"/>
      <c r="I126" s="145">
        <f t="shared" si="27"/>
        <v>0</v>
      </c>
      <c r="J126" s="136" t="s">
        <v>945</v>
      </c>
    </row>
    <row r="127" spans="1:10" ht="18.75" customHeight="1" x14ac:dyDescent="0.3">
      <c r="A127" s="291">
        <v>45467</v>
      </c>
      <c r="B127" s="195"/>
      <c r="C127" s="195"/>
      <c r="D127" s="195"/>
      <c r="E127" s="195"/>
      <c r="F127" s="195"/>
      <c r="G127" s="195"/>
      <c r="H127" s="195"/>
      <c r="I127" s="145">
        <f t="shared" si="27"/>
        <v>0</v>
      </c>
      <c r="J127" s="136" t="s">
        <v>946</v>
      </c>
    </row>
    <row r="128" spans="1:10" ht="18.75" customHeight="1" x14ac:dyDescent="0.3">
      <c r="A128" s="286">
        <v>45468</v>
      </c>
      <c r="B128" s="195"/>
      <c r="C128" s="195"/>
      <c r="D128" s="195"/>
      <c r="E128" s="195"/>
      <c r="F128" s="195"/>
      <c r="G128" s="195"/>
      <c r="H128" s="195"/>
      <c r="I128" s="145">
        <f t="shared" si="27"/>
        <v>0</v>
      </c>
      <c r="J128" s="138" t="s">
        <v>947</v>
      </c>
    </row>
    <row r="129" spans="1:10" ht="18.75" customHeight="1" x14ac:dyDescent="0.3">
      <c r="A129" s="286">
        <v>45468</v>
      </c>
      <c r="B129" s="195"/>
      <c r="C129" s="195"/>
      <c r="D129" s="195"/>
      <c r="E129" s="195"/>
      <c r="F129" s="195"/>
      <c r="G129" s="195"/>
      <c r="H129" s="195"/>
      <c r="I129" s="145">
        <f t="shared" si="27"/>
        <v>0</v>
      </c>
      <c r="J129" s="136" t="s">
        <v>948</v>
      </c>
    </row>
    <row r="130" spans="1:10" ht="18.75" customHeight="1" x14ac:dyDescent="0.3">
      <c r="A130" s="286">
        <v>45455</v>
      </c>
      <c r="B130" s="195"/>
      <c r="C130" s="195"/>
      <c r="D130" s="195"/>
      <c r="E130" s="195"/>
      <c r="F130" s="195"/>
      <c r="G130" s="195"/>
      <c r="H130" s="195"/>
      <c r="I130" s="145">
        <f t="shared" si="27"/>
        <v>0</v>
      </c>
      <c r="J130" s="292" t="s">
        <v>949</v>
      </c>
    </row>
    <row r="131" spans="1:10" ht="18.75" customHeight="1" x14ac:dyDescent="0.3">
      <c r="A131" s="286"/>
      <c r="B131" s="195"/>
      <c r="C131" s="195"/>
      <c r="D131" s="195"/>
      <c r="E131" s="195"/>
      <c r="F131" s="195"/>
      <c r="G131" s="195"/>
      <c r="H131" s="195"/>
      <c r="I131" s="145"/>
      <c r="J131" s="136"/>
    </row>
    <row r="132" spans="1:10" ht="18.75" customHeight="1" x14ac:dyDescent="0.3">
      <c r="A132" s="286"/>
      <c r="B132" s="195"/>
      <c r="C132" s="195"/>
      <c r="D132" s="195"/>
      <c r="E132" s="195"/>
      <c r="F132" s="195"/>
      <c r="G132" s="195"/>
      <c r="H132" s="195"/>
      <c r="I132" s="145"/>
      <c r="J132" s="138"/>
    </row>
    <row r="133" spans="1:10" ht="15.75" customHeight="1" x14ac:dyDescent="0.3">
      <c r="A133" s="281"/>
      <c r="B133" s="195"/>
      <c r="C133" s="195"/>
      <c r="D133" s="195"/>
      <c r="E133" s="195"/>
      <c r="F133" s="195"/>
      <c r="G133" s="195"/>
      <c r="H133" s="195"/>
      <c r="I133" s="145"/>
      <c r="J133" s="136"/>
    </row>
    <row r="134" spans="1:10" ht="18.75" customHeight="1" x14ac:dyDescent="0.3">
      <c r="A134" s="287" t="s">
        <v>245</v>
      </c>
      <c r="B134" s="279">
        <f t="shared" ref="B134:H134" si="28">SUM(B121:B133)</f>
        <v>0</v>
      </c>
      <c r="C134" s="279">
        <f t="shared" si="28"/>
        <v>0</v>
      </c>
      <c r="D134" s="279">
        <f t="shared" si="28"/>
        <v>0</v>
      </c>
      <c r="E134" s="279">
        <f t="shared" si="28"/>
        <v>0</v>
      </c>
      <c r="F134" s="279">
        <f t="shared" si="28"/>
        <v>0</v>
      </c>
      <c r="G134" s="279">
        <f t="shared" si="28"/>
        <v>0</v>
      </c>
      <c r="H134" s="279">
        <f t="shared" si="28"/>
        <v>0</v>
      </c>
      <c r="I134" s="280">
        <f>SUM(B134:H134)</f>
        <v>0</v>
      </c>
      <c r="J134" s="195"/>
    </row>
    <row r="135" spans="1:10" ht="18.75" customHeight="1" x14ac:dyDescent="0.3">
      <c r="A135" s="287" t="s">
        <v>246</v>
      </c>
      <c r="B135" s="279">
        <f t="shared" ref="B135:H135" si="29">SUM(B119+B134)</f>
        <v>0</v>
      </c>
      <c r="C135" s="279">
        <f t="shared" si="29"/>
        <v>28000</v>
      </c>
      <c r="D135" s="279">
        <f t="shared" si="29"/>
        <v>16385</v>
      </c>
      <c r="E135" s="279">
        <f t="shared" si="29"/>
        <v>0</v>
      </c>
      <c r="F135" s="279">
        <f t="shared" si="29"/>
        <v>0</v>
      </c>
      <c r="G135" s="279">
        <f t="shared" si="29"/>
        <v>190529</v>
      </c>
      <c r="H135" s="279">
        <f t="shared" si="29"/>
        <v>842343.21999999986</v>
      </c>
      <c r="I135" s="280">
        <f>SUM(B135:H135)</f>
        <v>1077257.2199999997</v>
      </c>
      <c r="J135" s="195"/>
    </row>
    <row r="136" spans="1:10" ht="18.75" customHeight="1" x14ac:dyDescent="0.3">
      <c r="A136" s="287" t="s">
        <v>247</v>
      </c>
      <c r="B136" s="279">
        <f t="shared" ref="B136:H136" si="30">SUM(B120-B134)</f>
        <v>1286000</v>
      </c>
      <c r="C136" s="279">
        <f t="shared" si="30"/>
        <v>1396800</v>
      </c>
      <c r="D136" s="279">
        <f t="shared" si="30"/>
        <v>818615</v>
      </c>
      <c r="E136" s="279">
        <f t="shared" si="30"/>
        <v>525000</v>
      </c>
      <c r="F136" s="279">
        <f t="shared" si="30"/>
        <v>424000</v>
      </c>
      <c r="G136" s="279">
        <f t="shared" si="30"/>
        <v>2098971</v>
      </c>
      <c r="H136" s="279">
        <f t="shared" si="30"/>
        <v>47078656.780000001</v>
      </c>
      <c r="I136" s="280">
        <f>SUM(B136:H136)</f>
        <v>53628042.780000001</v>
      </c>
      <c r="J136" s="195"/>
    </row>
    <row r="137" spans="1:10" ht="18.75" customHeight="1" x14ac:dyDescent="0.3">
      <c r="A137" s="284" t="s">
        <v>248</v>
      </c>
      <c r="B137" s="195"/>
      <c r="C137" s="195"/>
      <c r="D137" s="195"/>
      <c r="E137" s="195"/>
      <c r="F137" s="195"/>
      <c r="G137" s="195"/>
      <c r="H137" s="195"/>
      <c r="I137" s="145"/>
      <c r="J137" s="285"/>
    </row>
    <row r="138" spans="1:10" ht="18.75" customHeight="1" x14ac:dyDescent="0.3">
      <c r="A138" s="286">
        <v>45477</v>
      </c>
      <c r="B138" s="979"/>
      <c r="C138" s="979"/>
      <c r="D138" s="979"/>
      <c r="E138" s="979"/>
      <c r="F138" s="979"/>
      <c r="G138" s="979"/>
      <c r="H138" s="979"/>
      <c r="I138" s="145">
        <f t="shared" ref="I138:I159" si="31">SUM(B138:H138)</f>
        <v>0</v>
      </c>
      <c r="J138" s="195" t="s">
        <v>950</v>
      </c>
    </row>
    <row r="139" spans="1:10" ht="18.75" customHeight="1" x14ac:dyDescent="0.3">
      <c r="A139" s="286">
        <v>45477</v>
      </c>
      <c r="B139" s="979"/>
      <c r="C139" s="979"/>
      <c r="D139" s="979"/>
      <c r="E139" s="979"/>
      <c r="F139" s="979"/>
      <c r="G139" s="979"/>
      <c r="H139" s="979"/>
      <c r="I139" s="145">
        <f t="shared" si="31"/>
        <v>0</v>
      </c>
      <c r="J139" s="195" t="s">
        <v>951</v>
      </c>
    </row>
    <row r="140" spans="1:10" ht="18.75" customHeight="1" x14ac:dyDescent="0.3">
      <c r="A140" s="286">
        <v>45477</v>
      </c>
      <c r="B140" s="979"/>
      <c r="C140" s="979"/>
      <c r="D140" s="979"/>
      <c r="E140" s="979"/>
      <c r="F140" s="979"/>
      <c r="G140" s="979"/>
      <c r="H140" s="979"/>
      <c r="I140" s="145">
        <f t="shared" si="31"/>
        <v>0</v>
      </c>
      <c r="J140" s="195" t="s">
        <v>952</v>
      </c>
    </row>
    <row r="141" spans="1:10" ht="18.75" customHeight="1" x14ac:dyDescent="0.3">
      <c r="A141" s="286">
        <v>45477</v>
      </c>
      <c r="B141" s="979"/>
      <c r="C141" s="979"/>
      <c r="D141" s="979"/>
      <c r="E141" s="979"/>
      <c r="F141" s="979"/>
      <c r="G141" s="979"/>
      <c r="H141" s="979"/>
      <c r="I141" s="145">
        <f t="shared" si="31"/>
        <v>0</v>
      </c>
      <c r="J141" s="195" t="s">
        <v>953</v>
      </c>
    </row>
    <row r="142" spans="1:10" ht="18.75" customHeight="1" x14ac:dyDescent="0.3">
      <c r="A142" s="284">
        <v>45478</v>
      </c>
      <c r="B142" s="980"/>
      <c r="C142" s="980"/>
      <c r="D142" s="980"/>
      <c r="E142" s="980"/>
      <c r="F142" s="980"/>
      <c r="G142" s="980"/>
      <c r="H142" s="980"/>
      <c r="I142" s="285">
        <f t="shared" si="31"/>
        <v>0</v>
      </c>
      <c r="J142" s="293" t="s">
        <v>954</v>
      </c>
    </row>
    <row r="143" spans="1:10" ht="18.75" customHeight="1" x14ac:dyDescent="0.3">
      <c r="A143" s="284">
        <v>45478</v>
      </c>
      <c r="B143" s="980"/>
      <c r="C143" s="980"/>
      <c r="D143" s="980"/>
      <c r="E143" s="980"/>
      <c r="F143" s="980"/>
      <c r="G143" s="980"/>
      <c r="H143" s="980"/>
      <c r="I143" s="285">
        <f t="shared" si="31"/>
        <v>0</v>
      </c>
      <c r="J143" s="293" t="s">
        <v>955</v>
      </c>
    </row>
    <row r="144" spans="1:10" ht="18.75" customHeight="1" x14ac:dyDescent="0.3">
      <c r="A144" s="286">
        <v>45483</v>
      </c>
      <c r="B144" s="979"/>
      <c r="C144" s="979"/>
      <c r="D144" s="979"/>
      <c r="E144" s="979"/>
      <c r="F144" s="979"/>
      <c r="G144" s="979"/>
      <c r="H144" s="979"/>
      <c r="I144" s="145">
        <f t="shared" si="31"/>
        <v>0</v>
      </c>
      <c r="J144" s="136" t="s">
        <v>956</v>
      </c>
    </row>
    <row r="145" spans="1:10" ht="18.75" customHeight="1" x14ac:dyDescent="0.3">
      <c r="A145" s="284">
        <v>45484</v>
      </c>
      <c r="B145" s="980"/>
      <c r="C145" s="980"/>
      <c r="D145" s="980"/>
      <c r="E145" s="980"/>
      <c r="F145" s="980"/>
      <c r="G145" s="980"/>
      <c r="H145" s="980"/>
      <c r="I145" s="285">
        <f t="shared" si="31"/>
        <v>0</v>
      </c>
      <c r="J145" s="293" t="s">
        <v>957</v>
      </c>
    </row>
    <row r="146" spans="1:10" ht="18.75" customHeight="1" x14ac:dyDescent="0.3">
      <c r="A146" s="284">
        <v>45484</v>
      </c>
      <c r="B146" s="980"/>
      <c r="C146" s="980"/>
      <c r="D146" s="980"/>
      <c r="E146" s="980"/>
      <c r="F146" s="980"/>
      <c r="G146" s="980"/>
      <c r="H146" s="980"/>
      <c r="I146" s="285">
        <f t="shared" si="31"/>
        <v>0</v>
      </c>
      <c r="J146" s="293" t="s">
        <v>958</v>
      </c>
    </row>
    <row r="147" spans="1:10" ht="18.75" customHeight="1" x14ac:dyDescent="0.3">
      <c r="A147" s="286">
        <v>45489</v>
      </c>
      <c r="B147" s="979"/>
      <c r="C147" s="979"/>
      <c r="D147" s="979"/>
      <c r="E147" s="979"/>
      <c r="F147" s="979"/>
      <c r="G147" s="979"/>
      <c r="H147" s="979"/>
      <c r="I147" s="145">
        <f t="shared" si="31"/>
        <v>0</v>
      </c>
      <c r="J147" s="136" t="s">
        <v>1016</v>
      </c>
    </row>
    <row r="148" spans="1:10" ht="18.75" customHeight="1" x14ac:dyDescent="0.3">
      <c r="A148" s="286">
        <v>45491</v>
      </c>
      <c r="B148" s="979"/>
      <c r="C148" s="979"/>
      <c r="D148" s="979"/>
      <c r="E148" s="979"/>
      <c r="F148" s="979"/>
      <c r="G148" s="979"/>
      <c r="H148" s="979"/>
      <c r="I148" s="145">
        <f t="shared" si="31"/>
        <v>0</v>
      </c>
      <c r="J148" s="138" t="s">
        <v>959</v>
      </c>
    </row>
    <row r="149" spans="1:10" ht="18.75" customHeight="1" x14ac:dyDescent="0.3">
      <c r="A149" s="286">
        <v>45498</v>
      </c>
      <c r="B149" s="979"/>
      <c r="C149" s="979"/>
      <c r="D149" s="979"/>
      <c r="E149" s="979"/>
      <c r="F149" s="979"/>
      <c r="G149" s="979"/>
      <c r="H149" s="979"/>
      <c r="I149" s="145">
        <f t="shared" si="31"/>
        <v>0</v>
      </c>
      <c r="J149" s="136" t="s">
        <v>960</v>
      </c>
    </row>
    <row r="150" spans="1:10" ht="18.75" customHeight="1" x14ac:dyDescent="0.3">
      <c r="A150" s="286">
        <v>45498</v>
      </c>
      <c r="B150" s="979"/>
      <c r="C150" s="979"/>
      <c r="D150" s="979"/>
      <c r="E150" s="979"/>
      <c r="F150" s="979"/>
      <c r="G150" s="979"/>
      <c r="H150" s="979"/>
      <c r="I150" s="145">
        <f t="shared" si="31"/>
        <v>0</v>
      </c>
      <c r="J150" s="136" t="s">
        <v>961</v>
      </c>
    </row>
    <row r="151" spans="1:10" ht="18.75" customHeight="1" x14ac:dyDescent="0.3">
      <c r="A151" s="286">
        <v>45504</v>
      </c>
      <c r="B151" s="979"/>
      <c r="C151" s="979"/>
      <c r="D151" s="979"/>
      <c r="E151" s="979"/>
      <c r="F151" s="979"/>
      <c r="G151" s="979"/>
      <c r="H151" s="979"/>
      <c r="I151" s="145">
        <f t="shared" si="31"/>
        <v>0</v>
      </c>
      <c r="J151" s="136" t="s">
        <v>962</v>
      </c>
    </row>
    <row r="152" spans="1:10" ht="18.75" customHeight="1" x14ac:dyDescent="0.3">
      <c r="A152" s="286"/>
      <c r="B152" s="979"/>
      <c r="C152" s="979"/>
      <c r="D152" s="979"/>
      <c r="E152" s="979"/>
      <c r="F152" s="979"/>
      <c r="G152" s="979"/>
      <c r="H152" s="979"/>
      <c r="I152" s="145">
        <f t="shared" si="31"/>
        <v>0</v>
      </c>
      <c r="J152" s="136"/>
    </row>
    <row r="153" spans="1:10" ht="18.75" customHeight="1" x14ac:dyDescent="0.3">
      <c r="A153" s="286"/>
      <c r="B153" s="979"/>
      <c r="C153" s="979"/>
      <c r="D153" s="979"/>
      <c r="E153" s="979"/>
      <c r="F153" s="979"/>
      <c r="G153" s="979"/>
      <c r="H153" s="979"/>
      <c r="I153" s="145">
        <f t="shared" si="31"/>
        <v>0</v>
      </c>
      <c r="J153" s="136"/>
    </row>
    <row r="154" spans="1:10" ht="18.75" customHeight="1" x14ac:dyDescent="0.3">
      <c r="A154" s="286"/>
      <c r="B154" s="979"/>
      <c r="C154" s="979"/>
      <c r="D154" s="979"/>
      <c r="E154" s="979"/>
      <c r="F154" s="979"/>
      <c r="G154" s="979"/>
      <c r="H154" s="979"/>
      <c r="I154" s="145">
        <f t="shared" si="31"/>
        <v>0</v>
      </c>
      <c r="J154" s="138"/>
    </row>
    <row r="155" spans="1:10" ht="18.75" customHeight="1" x14ac:dyDescent="0.3">
      <c r="A155" s="286"/>
      <c r="B155" s="979"/>
      <c r="C155" s="979"/>
      <c r="D155" s="979"/>
      <c r="E155" s="979"/>
      <c r="F155" s="979"/>
      <c r="G155" s="979"/>
      <c r="H155" s="979"/>
      <c r="I155" s="145">
        <f t="shared" si="31"/>
        <v>0</v>
      </c>
      <c r="J155" s="136"/>
    </row>
    <row r="156" spans="1:10" ht="18.75" customHeight="1" x14ac:dyDescent="0.3">
      <c r="A156" s="286"/>
      <c r="B156" s="195"/>
      <c r="C156" s="195"/>
      <c r="D156" s="195"/>
      <c r="E156" s="195"/>
      <c r="F156" s="195"/>
      <c r="G156" s="195"/>
      <c r="H156" s="195"/>
      <c r="I156" s="145">
        <f t="shared" si="31"/>
        <v>0</v>
      </c>
      <c r="J156" s="138"/>
    </row>
    <row r="157" spans="1:10" ht="18.75" customHeight="1" x14ac:dyDescent="0.3">
      <c r="A157" s="286"/>
      <c r="B157" s="195"/>
      <c r="C157" s="195"/>
      <c r="D157" s="195"/>
      <c r="E157" s="195"/>
      <c r="F157" s="195"/>
      <c r="G157" s="195"/>
      <c r="H157" s="195"/>
      <c r="I157" s="145">
        <f t="shared" si="31"/>
        <v>0</v>
      </c>
      <c r="J157" s="136"/>
    </row>
    <row r="158" spans="1:10" ht="18.75" customHeight="1" x14ac:dyDescent="0.3">
      <c r="A158" s="286"/>
      <c r="B158" s="195"/>
      <c r="C158" s="195"/>
      <c r="D158" s="195"/>
      <c r="E158" s="195"/>
      <c r="F158" s="195"/>
      <c r="G158" s="195"/>
      <c r="H158" s="195"/>
      <c r="I158" s="145">
        <f t="shared" si="31"/>
        <v>0</v>
      </c>
      <c r="J158" s="138"/>
    </row>
    <row r="159" spans="1:10" ht="18.75" customHeight="1" x14ac:dyDescent="0.3">
      <c r="A159" s="286"/>
      <c r="B159" s="195"/>
      <c r="C159" s="195"/>
      <c r="D159" s="195"/>
      <c r="E159" s="195"/>
      <c r="F159" s="195"/>
      <c r="G159" s="195"/>
      <c r="H159" s="195"/>
      <c r="I159" s="145">
        <f t="shared" si="31"/>
        <v>0</v>
      </c>
      <c r="J159" s="136"/>
    </row>
    <row r="160" spans="1:10" ht="18.75" customHeight="1" x14ac:dyDescent="0.3">
      <c r="A160" s="286"/>
      <c r="B160" s="195"/>
      <c r="C160" s="195"/>
      <c r="D160" s="195"/>
      <c r="E160" s="195"/>
      <c r="F160" s="195"/>
      <c r="G160" s="195"/>
      <c r="H160" s="195"/>
      <c r="I160" s="145"/>
      <c r="J160" s="138"/>
    </row>
    <row r="161" spans="1:10" ht="15.75" customHeight="1" x14ac:dyDescent="0.3">
      <c r="A161" s="281"/>
      <c r="B161" s="195"/>
      <c r="C161" s="195"/>
      <c r="D161" s="195"/>
      <c r="E161" s="195"/>
      <c r="F161" s="195"/>
      <c r="G161" s="195"/>
      <c r="H161" s="195"/>
      <c r="I161" s="145"/>
      <c r="J161" s="136"/>
    </row>
    <row r="162" spans="1:10" ht="18.75" customHeight="1" x14ac:dyDescent="0.3">
      <c r="A162" s="287" t="s">
        <v>249</v>
      </c>
      <c r="B162" s="279">
        <f t="shared" ref="B162:H162" si="32">SUM(B137:B161)</f>
        <v>0</v>
      </c>
      <c r="C162" s="279">
        <f t="shared" si="32"/>
        <v>0</v>
      </c>
      <c r="D162" s="279">
        <f t="shared" si="32"/>
        <v>0</v>
      </c>
      <c r="E162" s="279">
        <f t="shared" si="32"/>
        <v>0</v>
      </c>
      <c r="F162" s="279">
        <f t="shared" si="32"/>
        <v>0</v>
      </c>
      <c r="G162" s="279">
        <f t="shared" si="32"/>
        <v>0</v>
      </c>
      <c r="H162" s="279">
        <f t="shared" si="32"/>
        <v>0</v>
      </c>
      <c r="I162" s="280">
        <f>SUM(B162:H162)</f>
        <v>0</v>
      </c>
      <c r="J162" s="195"/>
    </row>
    <row r="163" spans="1:10" ht="18.75" customHeight="1" x14ac:dyDescent="0.3">
      <c r="A163" s="287" t="s">
        <v>250</v>
      </c>
      <c r="B163" s="279">
        <f t="shared" ref="B163:H163" si="33">SUM(B135+B162)</f>
        <v>0</v>
      </c>
      <c r="C163" s="279">
        <f t="shared" si="33"/>
        <v>28000</v>
      </c>
      <c r="D163" s="279">
        <f t="shared" si="33"/>
        <v>16385</v>
      </c>
      <c r="E163" s="279">
        <f t="shared" si="33"/>
        <v>0</v>
      </c>
      <c r="F163" s="279">
        <f t="shared" si="33"/>
        <v>0</v>
      </c>
      <c r="G163" s="279">
        <f t="shared" si="33"/>
        <v>190529</v>
      </c>
      <c r="H163" s="279">
        <f t="shared" si="33"/>
        <v>842343.21999999986</v>
      </c>
      <c r="I163" s="280">
        <f>SUM(B163:H163)</f>
        <v>1077257.2199999997</v>
      </c>
      <c r="J163" s="195"/>
    </row>
    <row r="164" spans="1:10" ht="18.75" customHeight="1" x14ac:dyDescent="0.3">
      <c r="A164" s="287" t="s">
        <v>251</v>
      </c>
      <c r="B164" s="279">
        <f t="shared" ref="B164:H164" si="34">SUM(B136-B162)</f>
        <v>1286000</v>
      </c>
      <c r="C164" s="279">
        <f t="shared" si="34"/>
        <v>1396800</v>
      </c>
      <c r="D164" s="279">
        <f t="shared" si="34"/>
        <v>818615</v>
      </c>
      <c r="E164" s="279">
        <f t="shared" si="34"/>
        <v>525000</v>
      </c>
      <c r="F164" s="279">
        <f t="shared" si="34"/>
        <v>424000</v>
      </c>
      <c r="G164" s="279">
        <f t="shared" si="34"/>
        <v>2098971</v>
      </c>
      <c r="H164" s="279">
        <f t="shared" si="34"/>
        <v>47078656.780000001</v>
      </c>
      <c r="I164" s="280">
        <f>SUM(B164:H164)</f>
        <v>53628042.780000001</v>
      </c>
      <c r="J164" s="195"/>
    </row>
    <row r="165" spans="1:10" ht="18.75" customHeight="1" x14ac:dyDescent="0.3">
      <c r="A165" s="284" t="s">
        <v>252</v>
      </c>
      <c r="B165" s="195"/>
      <c r="C165" s="195"/>
      <c r="D165" s="195"/>
      <c r="E165" s="195"/>
      <c r="F165" s="195"/>
      <c r="G165" s="195"/>
      <c r="H165" s="195"/>
      <c r="I165" s="145"/>
      <c r="J165" s="285"/>
    </row>
    <row r="166" spans="1:10" ht="18.75" customHeight="1" x14ac:dyDescent="0.3">
      <c r="A166" s="286">
        <v>45505</v>
      </c>
      <c r="B166" s="979"/>
      <c r="C166" s="979"/>
      <c r="D166" s="979"/>
      <c r="E166" s="979"/>
      <c r="F166" s="979"/>
      <c r="G166" s="979"/>
      <c r="H166" s="979"/>
      <c r="I166" s="294">
        <f t="shared" ref="I166:I181" si="35">SUM(B166:H166)</f>
        <v>0</v>
      </c>
      <c r="J166" s="195" t="s">
        <v>963</v>
      </c>
    </row>
    <row r="167" spans="1:10" ht="18.75" customHeight="1" x14ac:dyDescent="0.3">
      <c r="A167" s="286">
        <v>45506</v>
      </c>
      <c r="B167" s="979"/>
      <c r="C167" s="979"/>
      <c r="D167" s="979"/>
      <c r="E167" s="979"/>
      <c r="F167" s="979"/>
      <c r="G167" s="979"/>
      <c r="H167" s="979"/>
      <c r="I167" s="294">
        <f t="shared" si="35"/>
        <v>0</v>
      </c>
      <c r="J167" s="195" t="s">
        <v>964</v>
      </c>
    </row>
    <row r="168" spans="1:10" ht="18.75" customHeight="1" x14ac:dyDescent="0.3">
      <c r="A168" s="284">
        <v>45506</v>
      </c>
      <c r="B168" s="980"/>
      <c r="C168" s="980"/>
      <c r="D168" s="980"/>
      <c r="E168" s="980"/>
      <c r="F168" s="980"/>
      <c r="G168" s="980"/>
      <c r="H168" s="980"/>
      <c r="I168" s="285">
        <f t="shared" si="35"/>
        <v>0</v>
      </c>
      <c r="J168" s="293" t="s">
        <v>965</v>
      </c>
    </row>
    <row r="169" spans="1:10" ht="18.75" customHeight="1" x14ac:dyDescent="0.3">
      <c r="A169" s="286">
        <v>45509</v>
      </c>
      <c r="B169" s="979"/>
      <c r="C169" s="979"/>
      <c r="D169" s="979"/>
      <c r="E169" s="979"/>
      <c r="F169" s="979"/>
      <c r="G169" s="979"/>
      <c r="H169" s="979"/>
      <c r="I169" s="294">
        <f t="shared" si="35"/>
        <v>0</v>
      </c>
      <c r="J169" s="195" t="s">
        <v>966</v>
      </c>
    </row>
    <row r="170" spans="1:10" ht="18.75" customHeight="1" x14ac:dyDescent="0.3">
      <c r="A170" s="284">
        <v>45510</v>
      </c>
      <c r="B170" s="980"/>
      <c r="C170" s="980"/>
      <c r="D170" s="980"/>
      <c r="E170" s="980"/>
      <c r="F170" s="980"/>
      <c r="G170" s="980"/>
      <c r="H170" s="980"/>
      <c r="I170" s="285">
        <f t="shared" si="35"/>
        <v>0</v>
      </c>
      <c r="J170" s="293" t="s">
        <v>967</v>
      </c>
    </row>
    <row r="171" spans="1:10" ht="18.75" customHeight="1" x14ac:dyDescent="0.3">
      <c r="A171" s="286">
        <v>45519</v>
      </c>
      <c r="B171" s="979"/>
      <c r="C171" s="979"/>
      <c r="D171" s="979"/>
      <c r="E171" s="979"/>
      <c r="F171" s="979"/>
      <c r="G171" s="979"/>
      <c r="H171" s="979"/>
      <c r="I171" s="294">
        <f t="shared" si="35"/>
        <v>0</v>
      </c>
      <c r="J171" s="136" t="s">
        <v>968</v>
      </c>
    </row>
    <row r="172" spans="1:10" ht="18.75" customHeight="1" x14ac:dyDescent="0.3">
      <c r="A172" s="286">
        <v>45519</v>
      </c>
      <c r="B172" s="979"/>
      <c r="C172" s="979"/>
      <c r="D172" s="979"/>
      <c r="E172" s="979"/>
      <c r="F172" s="979"/>
      <c r="G172" s="979"/>
      <c r="H172" s="979"/>
      <c r="I172" s="294">
        <f t="shared" si="35"/>
        <v>0</v>
      </c>
      <c r="J172" s="136" t="s">
        <v>969</v>
      </c>
    </row>
    <row r="173" spans="1:10" ht="18.75" customHeight="1" x14ac:dyDescent="0.3">
      <c r="A173" s="286">
        <v>45524</v>
      </c>
      <c r="B173" s="979"/>
      <c r="C173" s="979"/>
      <c r="D173" s="979"/>
      <c r="E173" s="979"/>
      <c r="F173" s="979"/>
      <c r="G173" s="979"/>
      <c r="H173" s="979"/>
      <c r="I173" s="294">
        <f t="shared" si="35"/>
        <v>0</v>
      </c>
      <c r="J173" s="136" t="s">
        <v>970</v>
      </c>
    </row>
    <row r="174" spans="1:10" ht="18.75" customHeight="1" x14ac:dyDescent="0.3">
      <c r="A174" s="284">
        <v>45510</v>
      </c>
      <c r="B174" s="980"/>
      <c r="C174" s="980"/>
      <c r="D174" s="980"/>
      <c r="E174" s="980"/>
      <c r="F174" s="980"/>
      <c r="G174" s="980"/>
      <c r="H174" s="980"/>
      <c r="I174" s="285">
        <f t="shared" si="35"/>
        <v>0</v>
      </c>
      <c r="J174" s="293" t="s">
        <v>971</v>
      </c>
    </row>
    <row r="175" spans="1:10" ht="18.75" customHeight="1" x14ac:dyDescent="0.3">
      <c r="A175" s="286">
        <v>45525</v>
      </c>
      <c r="B175" s="979"/>
      <c r="C175" s="979"/>
      <c r="D175" s="979"/>
      <c r="E175" s="979"/>
      <c r="F175" s="979"/>
      <c r="G175" s="979"/>
      <c r="H175" s="979"/>
      <c r="I175" s="294">
        <f t="shared" si="35"/>
        <v>0</v>
      </c>
      <c r="J175" s="138" t="s">
        <v>972</v>
      </c>
    </row>
    <row r="176" spans="1:10" ht="18.75" customHeight="1" x14ac:dyDescent="0.3">
      <c r="A176" s="286">
        <v>45525</v>
      </c>
      <c r="B176" s="979"/>
      <c r="C176" s="979"/>
      <c r="D176" s="979"/>
      <c r="E176" s="979"/>
      <c r="F176" s="979"/>
      <c r="G176" s="979"/>
      <c r="H176" s="979"/>
      <c r="I176" s="294">
        <f t="shared" si="35"/>
        <v>0</v>
      </c>
      <c r="J176" s="136" t="s">
        <v>973</v>
      </c>
    </row>
    <row r="177" spans="1:10" ht="18.75" customHeight="1" x14ac:dyDescent="0.3">
      <c r="A177" s="286">
        <v>45525</v>
      </c>
      <c r="B177" s="979"/>
      <c r="C177" s="979"/>
      <c r="D177" s="979"/>
      <c r="E177" s="979"/>
      <c r="F177" s="979"/>
      <c r="G177" s="979"/>
      <c r="H177" s="979"/>
      <c r="I177" s="294">
        <f t="shared" si="35"/>
        <v>0</v>
      </c>
      <c r="J177" s="136" t="s">
        <v>974</v>
      </c>
    </row>
    <row r="178" spans="1:10" ht="18.75" customHeight="1" x14ac:dyDescent="0.3">
      <c r="A178" s="286">
        <v>45527</v>
      </c>
      <c r="B178" s="979"/>
      <c r="C178" s="979"/>
      <c r="D178" s="979"/>
      <c r="E178" s="979"/>
      <c r="F178" s="979"/>
      <c r="G178" s="979"/>
      <c r="H178" s="979"/>
      <c r="I178" s="294">
        <f t="shared" si="35"/>
        <v>0</v>
      </c>
      <c r="J178" s="136" t="s">
        <v>975</v>
      </c>
    </row>
    <row r="179" spans="1:10" ht="18.75" customHeight="1" x14ac:dyDescent="0.3">
      <c r="A179" s="286">
        <v>45530</v>
      </c>
      <c r="B179" s="979"/>
      <c r="C179" s="979"/>
      <c r="D179" s="979"/>
      <c r="E179" s="979"/>
      <c r="F179" s="979"/>
      <c r="G179" s="979"/>
      <c r="H179" s="979"/>
      <c r="I179" s="294">
        <f t="shared" si="35"/>
        <v>0</v>
      </c>
      <c r="J179" s="295" t="s">
        <v>976</v>
      </c>
    </row>
    <row r="180" spans="1:10" ht="18.75" customHeight="1" x14ac:dyDescent="0.3">
      <c r="A180" s="284">
        <v>45530</v>
      </c>
      <c r="B180" s="980"/>
      <c r="C180" s="980"/>
      <c r="D180" s="980"/>
      <c r="E180" s="980"/>
      <c r="F180" s="980"/>
      <c r="G180" s="980"/>
      <c r="H180" s="980"/>
      <c r="I180" s="285">
        <f t="shared" si="35"/>
        <v>0</v>
      </c>
      <c r="J180" s="293" t="s">
        <v>977</v>
      </c>
    </row>
    <row r="181" spans="1:10" ht="18.75" customHeight="1" x14ac:dyDescent="0.3">
      <c r="A181" s="286">
        <v>45531</v>
      </c>
      <c r="B181" s="979"/>
      <c r="C181" s="979"/>
      <c r="D181" s="979"/>
      <c r="E181" s="979"/>
      <c r="F181" s="979"/>
      <c r="G181" s="979"/>
      <c r="H181" s="979"/>
      <c r="I181" s="294">
        <f t="shared" si="35"/>
        <v>0</v>
      </c>
      <c r="J181" s="136" t="s">
        <v>978</v>
      </c>
    </row>
    <row r="182" spans="1:10" ht="18.75" customHeight="1" x14ac:dyDescent="0.3">
      <c r="A182" s="286"/>
      <c r="B182" s="979"/>
      <c r="C182" s="979"/>
      <c r="D182" s="979"/>
      <c r="E182" s="979"/>
      <c r="F182" s="979"/>
      <c r="G182" s="979"/>
      <c r="H182" s="979"/>
      <c r="I182" s="145"/>
      <c r="J182" s="136"/>
    </row>
    <row r="183" spans="1:10" ht="18.75" customHeight="1" x14ac:dyDescent="0.3">
      <c r="A183" s="286"/>
      <c r="B183" s="195"/>
      <c r="C183" s="195"/>
      <c r="D183" s="195"/>
      <c r="E183" s="195"/>
      <c r="F183" s="195"/>
      <c r="G183" s="195"/>
      <c r="H183" s="195"/>
      <c r="I183" s="145"/>
      <c r="J183" s="138"/>
    </row>
    <row r="184" spans="1:10" ht="15.75" customHeight="1" x14ac:dyDescent="0.3">
      <c r="A184" s="281"/>
      <c r="B184" s="195"/>
      <c r="C184" s="195"/>
      <c r="D184" s="195"/>
      <c r="E184" s="195"/>
      <c r="F184" s="195"/>
      <c r="G184" s="195"/>
      <c r="H184" s="195"/>
      <c r="I184" s="145"/>
      <c r="J184" s="136"/>
    </row>
    <row r="185" spans="1:10" ht="18.75" customHeight="1" x14ac:dyDescent="0.3">
      <c r="A185" s="287" t="s">
        <v>253</v>
      </c>
      <c r="B185" s="279">
        <f t="shared" ref="B185:H185" si="36">SUM(B165:B184)</f>
        <v>0</v>
      </c>
      <c r="C185" s="279">
        <f t="shared" si="36"/>
        <v>0</v>
      </c>
      <c r="D185" s="279">
        <f t="shared" si="36"/>
        <v>0</v>
      </c>
      <c r="E185" s="279">
        <f t="shared" si="36"/>
        <v>0</v>
      </c>
      <c r="F185" s="279">
        <f t="shared" si="36"/>
        <v>0</v>
      </c>
      <c r="G185" s="279">
        <f t="shared" si="36"/>
        <v>0</v>
      </c>
      <c r="H185" s="279">
        <f t="shared" si="36"/>
        <v>0</v>
      </c>
      <c r="I185" s="280">
        <f>SUM(B185:H185)</f>
        <v>0</v>
      </c>
      <c r="J185" s="195"/>
    </row>
    <row r="186" spans="1:10" ht="18.75" customHeight="1" x14ac:dyDescent="0.3">
      <c r="A186" s="287" t="s">
        <v>254</v>
      </c>
      <c r="B186" s="279">
        <f t="shared" ref="B186:H186" si="37">SUM(B163+B185)</f>
        <v>0</v>
      </c>
      <c r="C186" s="279">
        <f t="shared" si="37"/>
        <v>28000</v>
      </c>
      <c r="D186" s="279">
        <f t="shared" si="37"/>
        <v>16385</v>
      </c>
      <c r="E186" s="279">
        <f t="shared" si="37"/>
        <v>0</v>
      </c>
      <c r="F186" s="279">
        <f t="shared" si="37"/>
        <v>0</v>
      </c>
      <c r="G186" s="279">
        <f t="shared" si="37"/>
        <v>190529</v>
      </c>
      <c r="H186" s="279">
        <f t="shared" si="37"/>
        <v>842343.21999999986</v>
      </c>
      <c r="I186" s="280">
        <f>SUM(B186:H186)</f>
        <v>1077257.2199999997</v>
      </c>
      <c r="J186" s="195"/>
    </row>
    <row r="187" spans="1:10" ht="18.75" customHeight="1" x14ac:dyDescent="0.3">
      <c r="A187" s="287" t="s">
        <v>255</v>
      </c>
      <c r="B187" s="279">
        <f t="shared" ref="B187:H187" si="38">SUM(B164-B185)</f>
        <v>1286000</v>
      </c>
      <c r="C187" s="279">
        <f t="shared" si="38"/>
        <v>1396800</v>
      </c>
      <c r="D187" s="279">
        <f t="shared" si="38"/>
        <v>818615</v>
      </c>
      <c r="E187" s="279">
        <f t="shared" si="38"/>
        <v>525000</v>
      </c>
      <c r="F187" s="279">
        <f t="shared" si="38"/>
        <v>424000</v>
      </c>
      <c r="G187" s="279">
        <f t="shared" si="38"/>
        <v>2098971</v>
      </c>
      <c r="H187" s="279">
        <f t="shared" si="38"/>
        <v>47078656.780000001</v>
      </c>
      <c r="I187" s="280">
        <f>SUM(B187:H187)</f>
        <v>53628042.780000001</v>
      </c>
      <c r="J187" s="195"/>
    </row>
    <row r="188" spans="1:10" ht="18.75" customHeight="1" x14ac:dyDescent="0.3">
      <c r="A188" s="284" t="s">
        <v>256</v>
      </c>
      <c r="B188" s="195"/>
      <c r="C188" s="195"/>
      <c r="D188" s="195"/>
      <c r="E188" s="195"/>
      <c r="F188" s="195"/>
      <c r="G188" s="195"/>
      <c r="H188" s="195"/>
      <c r="I188" s="145"/>
      <c r="J188" s="285"/>
    </row>
    <row r="189" spans="1:10" ht="18.75" customHeight="1" x14ac:dyDescent="0.3">
      <c r="A189" s="286">
        <v>45537</v>
      </c>
      <c r="B189" s="195"/>
      <c r="C189" s="195"/>
      <c r="D189" s="195"/>
      <c r="E189" s="195"/>
      <c r="F189" s="195"/>
      <c r="G189" s="195"/>
      <c r="H189" s="195"/>
      <c r="I189" s="661">
        <f>SUM(B189:H189)</f>
        <v>0</v>
      </c>
      <c r="J189" s="195" t="s">
        <v>1018</v>
      </c>
    </row>
    <row r="190" spans="1:10" ht="18.75" customHeight="1" x14ac:dyDescent="0.3">
      <c r="A190" s="286">
        <v>45537</v>
      </c>
      <c r="B190" s="195"/>
      <c r="C190" s="195"/>
      <c r="D190" s="195"/>
      <c r="E190" s="195"/>
      <c r="F190" s="195"/>
      <c r="G190" s="195"/>
      <c r="H190" s="195"/>
      <c r="I190" s="661">
        <f t="shared" ref="I190:I221" si="39">SUM(B190:H190)</f>
        <v>0</v>
      </c>
      <c r="J190" s="195" t="s">
        <v>1019</v>
      </c>
    </row>
    <row r="191" spans="1:10" ht="18.75" customHeight="1" x14ac:dyDescent="0.3">
      <c r="A191" s="286">
        <v>45537</v>
      </c>
      <c r="B191" s="195"/>
      <c r="C191" s="195"/>
      <c r="D191" s="195"/>
      <c r="E191" s="195"/>
      <c r="F191" s="195"/>
      <c r="G191" s="195"/>
      <c r="H191" s="195"/>
      <c r="I191" s="661">
        <f t="shared" si="39"/>
        <v>0</v>
      </c>
      <c r="J191" s="136" t="s">
        <v>1026</v>
      </c>
    </row>
    <row r="192" spans="1:10" ht="18.75" customHeight="1" x14ac:dyDescent="0.3">
      <c r="A192" s="286">
        <v>45537</v>
      </c>
      <c r="B192" s="195"/>
      <c r="C192" s="195"/>
      <c r="D192" s="195"/>
      <c r="E192" s="195"/>
      <c r="F192" s="195"/>
      <c r="G192" s="195"/>
      <c r="H192" s="195"/>
      <c r="I192" s="661">
        <f t="shared" si="39"/>
        <v>0</v>
      </c>
      <c r="J192" s="136" t="s">
        <v>1030</v>
      </c>
    </row>
    <row r="193" spans="1:10" ht="18.75" customHeight="1" x14ac:dyDescent="0.3">
      <c r="A193" s="286">
        <v>45540</v>
      </c>
      <c r="B193" s="195"/>
      <c r="C193" s="195"/>
      <c r="D193" s="195"/>
      <c r="E193" s="195"/>
      <c r="F193" s="195"/>
      <c r="G193" s="195"/>
      <c r="H193" s="195"/>
      <c r="I193" s="661">
        <f t="shared" si="39"/>
        <v>0</v>
      </c>
      <c r="J193" s="136" t="s">
        <v>1039</v>
      </c>
    </row>
    <row r="194" spans="1:10" ht="18.75" customHeight="1" x14ac:dyDescent="0.3">
      <c r="A194" s="286">
        <v>45540</v>
      </c>
      <c r="B194" s="195"/>
      <c r="C194" s="195"/>
      <c r="D194" s="195"/>
      <c r="E194" s="195"/>
      <c r="F194" s="195"/>
      <c r="G194" s="195"/>
      <c r="H194" s="195"/>
      <c r="I194" s="661">
        <f t="shared" si="39"/>
        <v>0</v>
      </c>
      <c r="J194" s="136" t="s">
        <v>1040</v>
      </c>
    </row>
    <row r="195" spans="1:10" ht="18.75" customHeight="1" x14ac:dyDescent="0.3">
      <c r="A195" s="286">
        <v>45553</v>
      </c>
      <c r="B195" s="195"/>
      <c r="C195" s="195"/>
      <c r="D195" s="195"/>
      <c r="E195" s="195"/>
      <c r="F195" s="195"/>
      <c r="G195" s="195"/>
      <c r="H195" s="195"/>
      <c r="I195" s="661">
        <f t="shared" si="39"/>
        <v>0</v>
      </c>
      <c r="J195" s="136" t="s">
        <v>1075</v>
      </c>
    </row>
    <row r="196" spans="1:10" ht="18.75" customHeight="1" x14ac:dyDescent="0.3">
      <c r="A196" s="286">
        <v>45558</v>
      </c>
      <c r="B196" s="195"/>
      <c r="C196" s="195"/>
      <c r="D196" s="195"/>
      <c r="E196" s="195"/>
      <c r="F196" s="195"/>
      <c r="G196" s="195"/>
      <c r="H196" s="195"/>
      <c r="I196" s="661">
        <f t="shared" si="39"/>
        <v>0</v>
      </c>
      <c r="J196" s="136" t="s">
        <v>1093</v>
      </c>
    </row>
    <row r="197" spans="1:10" ht="18.75" customHeight="1" x14ac:dyDescent="0.3">
      <c r="A197" s="286">
        <v>45558</v>
      </c>
      <c r="B197" s="195"/>
      <c r="C197" s="195"/>
      <c r="D197" s="195"/>
      <c r="E197" s="195"/>
      <c r="F197" s="195"/>
      <c r="G197" s="195"/>
      <c r="H197" s="195"/>
      <c r="I197" s="661">
        <f t="shared" si="39"/>
        <v>0</v>
      </c>
      <c r="J197" s="136" t="s">
        <v>1094</v>
      </c>
    </row>
    <row r="198" spans="1:10" ht="18.75" customHeight="1" x14ac:dyDescent="0.3">
      <c r="A198" s="286">
        <v>45558</v>
      </c>
      <c r="B198" s="195"/>
      <c r="C198" s="195"/>
      <c r="D198" s="195"/>
      <c r="E198" s="195"/>
      <c r="F198" s="195"/>
      <c r="G198" s="195"/>
      <c r="H198" s="195"/>
      <c r="I198" s="661">
        <f t="shared" si="39"/>
        <v>0</v>
      </c>
      <c r="J198" s="136" t="s">
        <v>1099</v>
      </c>
    </row>
    <row r="199" spans="1:10" ht="18.75" customHeight="1" x14ac:dyDescent="0.3">
      <c r="A199" s="286">
        <v>45559</v>
      </c>
      <c r="B199" s="195"/>
      <c r="C199" s="195"/>
      <c r="D199" s="195"/>
      <c r="E199" s="195"/>
      <c r="F199" s="195"/>
      <c r="G199" s="195"/>
      <c r="H199" s="195"/>
      <c r="I199" s="661">
        <f t="shared" si="39"/>
        <v>0</v>
      </c>
      <c r="J199" s="668" t="s">
        <v>1107</v>
      </c>
    </row>
    <row r="200" spans="1:10" ht="18.75" customHeight="1" x14ac:dyDescent="0.3">
      <c r="A200" s="286">
        <v>45561</v>
      </c>
      <c r="B200" s="195"/>
      <c r="C200" s="195"/>
      <c r="D200" s="195"/>
      <c r="E200" s="195"/>
      <c r="F200" s="195"/>
      <c r="G200" s="195"/>
      <c r="H200" s="136"/>
      <c r="I200" s="661">
        <f t="shared" si="39"/>
        <v>0</v>
      </c>
      <c r="J200" s="670" t="s">
        <v>1123</v>
      </c>
    </row>
    <row r="201" spans="1:10" ht="18.75" customHeight="1" x14ac:dyDescent="0.3">
      <c r="A201" s="286">
        <v>45565</v>
      </c>
      <c r="B201" s="286"/>
      <c r="C201" s="195"/>
      <c r="D201" s="195"/>
      <c r="E201" s="195"/>
      <c r="F201" s="195"/>
      <c r="G201" s="195"/>
      <c r="H201" s="195"/>
      <c r="I201" s="661">
        <f t="shared" si="39"/>
        <v>0</v>
      </c>
      <c r="J201" s="136" t="s">
        <v>1157</v>
      </c>
    </row>
    <row r="202" spans="1:10" ht="18.75" customHeight="1" x14ac:dyDescent="0.3">
      <c r="A202" s="286">
        <v>45565</v>
      </c>
      <c r="B202" s="286"/>
      <c r="C202" s="195"/>
      <c r="D202" s="195"/>
      <c r="E202" s="195"/>
      <c r="F202" s="195"/>
      <c r="G202" s="195"/>
      <c r="H202" s="195"/>
      <c r="I202" s="661">
        <f t="shared" si="39"/>
        <v>0</v>
      </c>
      <c r="J202" s="136" t="s">
        <v>1158</v>
      </c>
    </row>
    <row r="203" spans="1:10" ht="18.75" customHeight="1" x14ac:dyDescent="0.3">
      <c r="A203" s="286">
        <v>45565</v>
      </c>
      <c r="B203" s="286"/>
      <c r="C203" s="195"/>
      <c r="D203" s="195"/>
      <c r="E203" s="195"/>
      <c r="F203" s="195"/>
      <c r="G203" s="195"/>
      <c r="H203" s="195"/>
      <c r="I203" s="661">
        <f t="shared" si="39"/>
        <v>0</v>
      </c>
      <c r="J203" s="145" t="s">
        <v>1159</v>
      </c>
    </row>
    <row r="204" spans="1:10" ht="18.75" customHeight="1" x14ac:dyDescent="0.3">
      <c r="A204" s="286">
        <v>45565</v>
      </c>
      <c r="B204" s="286"/>
      <c r="C204" s="195"/>
      <c r="D204" s="195"/>
      <c r="E204" s="195"/>
      <c r="F204" s="195"/>
      <c r="G204" s="195"/>
      <c r="H204" s="195"/>
      <c r="I204" s="661">
        <f t="shared" si="39"/>
        <v>0</v>
      </c>
      <c r="J204" s="145" t="s">
        <v>1160</v>
      </c>
    </row>
    <row r="205" spans="1:10" ht="18.75" customHeight="1" x14ac:dyDescent="0.3">
      <c r="A205" s="286">
        <v>45565</v>
      </c>
      <c r="B205" s="286"/>
      <c r="C205" s="195"/>
      <c r="D205" s="195"/>
      <c r="E205" s="195"/>
      <c r="F205" s="195"/>
      <c r="G205" s="195"/>
      <c r="H205" s="195"/>
      <c r="I205" s="661">
        <f t="shared" si="39"/>
        <v>0</v>
      </c>
      <c r="J205" s="145" t="s">
        <v>1164</v>
      </c>
    </row>
    <row r="206" spans="1:10" ht="18.75" customHeight="1" x14ac:dyDescent="0.3">
      <c r="A206" s="286">
        <v>45565</v>
      </c>
      <c r="B206" s="286"/>
      <c r="C206" s="195"/>
      <c r="D206" s="195"/>
      <c r="E206" s="195"/>
      <c r="F206" s="195"/>
      <c r="G206" s="195"/>
      <c r="H206" s="195"/>
      <c r="I206" s="661">
        <f t="shared" si="39"/>
        <v>0</v>
      </c>
      <c r="J206" s="145" t="s">
        <v>1169</v>
      </c>
    </row>
    <row r="207" spans="1:10" ht="18.75" customHeight="1" x14ac:dyDescent="0.3">
      <c r="A207" s="286">
        <v>45565</v>
      </c>
      <c r="B207" s="286"/>
      <c r="C207" s="195"/>
      <c r="D207" s="195"/>
      <c r="E207" s="195"/>
      <c r="F207" s="195"/>
      <c r="G207" s="195"/>
      <c r="H207" s="195"/>
      <c r="I207" s="661">
        <f t="shared" si="39"/>
        <v>0</v>
      </c>
      <c r="J207" s="145" t="s">
        <v>1173</v>
      </c>
    </row>
    <row r="208" spans="1:10" ht="18.75" customHeight="1" x14ac:dyDescent="0.3">
      <c r="A208" s="286">
        <v>45565</v>
      </c>
      <c r="B208" s="286"/>
      <c r="C208" s="195"/>
      <c r="D208" s="195"/>
      <c r="E208" s="195"/>
      <c r="F208" s="195"/>
      <c r="G208" s="195"/>
      <c r="H208" s="195"/>
      <c r="I208" s="661">
        <f t="shared" si="39"/>
        <v>0</v>
      </c>
      <c r="J208" s="145" t="s">
        <v>1174</v>
      </c>
    </row>
    <row r="209" spans="1:10" ht="18.75" customHeight="1" x14ac:dyDescent="0.3">
      <c r="A209" s="286">
        <v>45565</v>
      </c>
      <c r="B209" s="676"/>
      <c r="C209" s="195"/>
      <c r="D209" s="195"/>
      <c r="E209" s="195"/>
      <c r="F209" s="195"/>
      <c r="G209" s="195"/>
      <c r="H209" s="195"/>
      <c r="I209" s="661">
        <f t="shared" si="39"/>
        <v>0</v>
      </c>
      <c r="J209" s="145" t="s">
        <v>1175</v>
      </c>
    </row>
    <row r="210" spans="1:10" ht="18" customHeight="1" x14ac:dyDescent="0.3">
      <c r="A210" s="286">
        <v>45565</v>
      </c>
      <c r="B210" s="676"/>
      <c r="C210" s="195"/>
      <c r="D210" s="195"/>
      <c r="E210" s="195"/>
      <c r="F210" s="195"/>
      <c r="G210" s="195"/>
      <c r="H210" s="195"/>
      <c r="I210" s="661">
        <f t="shared" si="39"/>
        <v>0</v>
      </c>
      <c r="J210" s="145" t="s">
        <v>1176</v>
      </c>
    </row>
    <row r="211" spans="1:10" ht="18.75" customHeight="1" x14ac:dyDescent="0.3">
      <c r="A211" s="286">
        <v>45565</v>
      </c>
      <c r="B211" s="676"/>
      <c r="C211" s="195"/>
      <c r="D211" s="195"/>
      <c r="E211" s="195"/>
      <c r="F211" s="195"/>
      <c r="G211" s="195"/>
      <c r="H211" s="195"/>
      <c r="I211" s="661">
        <f t="shared" si="39"/>
        <v>0</v>
      </c>
      <c r="J211" s="145" t="s">
        <v>1177</v>
      </c>
    </row>
    <row r="212" spans="1:10" ht="18.75" customHeight="1" x14ac:dyDescent="0.3">
      <c r="A212" s="286">
        <v>45565</v>
      </c>
      <c r="B212" s="676"/>
      <c r="C212" s="195"/>
      <c r="D212" s="195"/>
      <c r="E212" s="195"/>
      <c r="F212" s="195"/>
      <c r="G212" s="195"/>
      <c r="H212" s="195"/>
      <c r="I212" s="661">
        <f t="shared" si="39"/>
        <v>0</v>
      </c>
      <c r="J212" s="145" t="s">
        <v>1178</v>
      </c>
    </row>
    <row r="213" spans="1:10" ht="18.75" customHeight="1" x14ac:dyDescent="0.3">
      <c r="A213" s="286">
        <v>45562</v>
      </c>
      <c r="B213" s="676"/>
      <c r="C213" s="195"/>
      <c r="D213" s="195"/>
      <c r="E213" s="195"/>
      <c r="F213" s="195"/>
      <c r="G213" s="195"/>
      <c r="H213" s="195"/>
      <c r="I213" s="661">
        <f t="shared" si="39"/>
        <v>0</v>
      </c>
      <c r="J213" s="136" t="s">
        <v>1184</v>
      </c>
    </row>
    <row r="214" spans="1:10" ht="18.75" customHeight="1" x14ac:dyDescent="0.3">
      <c r="A214" s="286">
        <v>45553</v>
      </c>
      <c r="B214" s="676"/>
      <c r="C214" s="195"/>
      <c r="D214" s="195"/>
      <c r="E214" s="195"/>
      <c r="F214" s="195"/>
      <c r="G214" s="195"/>
      <c r="H214" s="195"/>
      <c r="I214" s="661">
        <f t="shared" si="39"/>
        <v>0</v>
      </c>
      <c r="J214" s="293" t="s">
        <v>1188</v>
      </c>
    </row>
    <row r="215" spans="1:10" ht="18.75" customHeight="1" x14ac:dyDescent="0.3">
      <c r="A215" s="286">
        <v>45545</v>
      </c>
      <c r="B215" s="676"/>
      <c r="C215" s="195"/>
      <c r="D215" s="195"/>
      <c r="E215" s="195"/>
      <c r="F215" s="195"/>
      <c r="G215" s="195"/>
      <c r="H215" s="195"/>
      <c r="I215" s="661">
        <f t="shared" si="39"/>
        <v>0</v>
      </c>
      <c r="J215" s="293" t="s">
        <v>309</v>
      </c>
    </row>
    <row r="216" spans="1:10" ht="18.75" customHeight="1" x14ac:dyDescent="0.3">
      <c r="A216" s="286">
        <v>45548</v>
      </c>
      <c r="B216" s="676"/>
      <c r="C216" s="195"/>
      <c r="D216" s="195"/>
      <c r="E216" s="195"/>
      <c r="F216" s="195"/>
      <c r="G216" s="195"/>
      <c r="H216" s="195"/>
      <c r="I216" s="661">
        <f t="shared" si="39"/>
        <v>0</v>
      </c>
      <c r="J216" s="293" t="s">
        <v>309</v>
      </c>
    </row>
    <row r="217" spans="1:10" ht="18.75" customHeight="1" x14ac:dyDescent="0.3">
      <c r="A217" s="286">
        <v>45558</v>
      </c>
      <c r="B217" s="676"/>
      <c r="C217" s="195"/>
      <c r="D217" s="195"/>
      <c r="E217" s="195"/>
      <c r="F217" s="195"/>
      <c r="G217" s="195"/>
      <c r="H217" s="195"/>
      <c r="I217" s="661">
        <f t="shared" si="39"/>
        <v>0</v>
      </c>
      <c r="J217" s="293" t="s">
        <v>309</v>
      </c>
    </row>
    <row r="218" spans="1:10" ht="18.75" customHeight="1" x14ac:dyDescent="0.3">
      <c r="A218" s="286">
        <v>45562</v>
      </c>
      <c r="B218" s="676"/>
      <c r="C218" s="195"/>
      <c r="D218" s="195"/>
      <c r="E218" s="195"/>
      <c r="F218" s="195"/>
      <c r="G218" s="662"/>
      <c r="H218" s="195"/>
      <c r="I218" s="661">
        <f t="shared" si="39"/>
        <v>0</v>
      </c>
      <c r="J218" s="293" t="s">
        <v>309</v>
      </c>
    </row>
    <row r="219" spans="1:10" ht="18.75" customHeight="1" x14ac:dyDescent="0.3">
      <c r="A219" s="286"/>
      <c r="B219" s="676"/>
      <c r="C219" s="195"/>
      <c r="D219" s="195"/>
      <c r="E219" s="195"/>
      <c r="F219" s="195"/>
      <c r="G219" s="195"/>
      <c r="H219" s="195"/>
      <c r="I219" s="661">
        <f t="shared" si="39"/>
        <v>0</v>
      </c>
      <c r="J219" s="136" t="s">
        <v>1189</v>
      </c>
    </row>
    <row r="220" spans="1:10" ht="18.75" customHeight="1" x14ac:dyDescent="0.3">
      <c r="A220" s="286"/>
      <c r="B220" s="676"/>
      <c r="C220" s="195"/>
      <c r="D220" s="195"/>
      <c r="E220" s="195"/>
      <c r="F220" s="195"/>
      <c r="G220" s="195"/>
      <c r="H220" s="195"/>
      <c r="I220" s="661">
        <f t="shared" si="39"/>
        <v>0</v>
      </c>
      <c r="J220" s="136"/>
    </row>
    <row r="221" spans="1:10" ht="18.75" customHeight="1" x14ac:dyDescent="0.3">
      <c r="A221" s="286"/>
      <c r="B221" s="676"/>
      <c r="C221" s="195"/>
      <c r="D221" s="195"/>
      <c r="E221" s="195"/>
      <c r="F221" s="195"/>
      <c r="G221" s="195"/>
      <c r="H221" s="195"/>
      <c r="I221" s="661">
        <f t="shared" si="39"/>
        <v>0</v>
      </c>
      <c r="J221" s="136"/>
    </row>
    <row r="223" spans="1:10" ht="18.75" customHeight="1" x14ac:dyDescent="0.3">
      <c r="A223" s="287" t="s">
        <v>257</v>
      </c>
      <c r="B223" s="279">
        <f t="shared" ref="B223:H223" si="40">SUM(B188:B222)</f>
        <v>0</v>
      </c>
      <c r="C223" s="279">
        <f t="shared" si="40"/>
        <v>0</v>
      </c>
      <c r="D223" s="279">
        <f t="shared" si="40"/>
        <v>0</v>
      </c>
      <c r="E223" s="279">
        <f t="shared" si="40"/>
        <v>0</v>
      </c>
      <c r="F223" s="279">
        <f t="shared" si="40"/>
        <v>0</v>
      </c>
      <c r="G223" s="279">
        <f>SUM(G188:G222)</f>
        <v>0</v>
      </c>
      <c r="H223" s="279">
        <f t="shared" si="40"/>
        <v>0</v>
      </c>
      <c r="I223" s="280">
        <f>SUM(B223:H223)</f>
        <v>0</v>
      </c>
    </row>
    <row r="224" spans="1:10" ht="18.75" customHeight="1" x14ac:dyDescent="0.3">
      <c r="A224" s="287" t="s">
        <v>258</v>
      </c>
      <c r="B224" s="279">
        <f t="shared" ref="B224:H224" si="41">SUM(B186+B223)</f>
        <v>0</v>
      </c>
      <c r="C224" s="279">
        <f t="shared" si="41"/>
        <v>28000</v>
      </c>
      <c r="D224" s="279">
        <f t="shared" si="41"/>
        <v>16385</v>
      </c>
      <c r="E224" s="279">
        <f t="shared" si="41"/>
        <v>0</v>
      </c>
      <c r="F224" s="279">
        <f t="shared" si="41"/>
        <v>0</v>
      </c>
      <c r="G224" s="279">
        <f t="shared" si="41"/>
        <v>190529</v>
      </c>
      <c r="H224" s="279">
        <f t="shared" si="41"/>
        <v>842343.21999999986</v>
      </c>
      <c r="I224" s="280">
        <f>SUM(B224:H224)</f>
        <v>1077257.2199999997</v>
      </c>
    </row>
    <row r="225" spans="1:9" ht="18.75" customHeight="1" x14ac:dyDescent="0.3">
      <c r="A225" s="287" t="s">
        <v>259</v>
      </c>
      <c r="B225" s="279">
        <f t="shared" ref="B225:H225" si="42">SUM(B187-B223)</f>
        <v>1286000</v>
      </c>
      <c r="C225" s="279">
        <f t="shared" si="42"/>
        <v>1396800</v>
      </c>
      <c r="D225" s="279">
        <f t="shared" si="42"/>
        <v>818615</v>
      </c>
      <c r="E225" s="279">
        <f t="shared" si="42"/>
        <v>525000</v>
      </c>
      <c r="F225" s="279">
        <f t="shared" si="42"/>
        <v>424000</v>
      </c>
      <c r="G225" s="279">
        <f t="shared" si="42"/>
        <v>2098971</v>
      </c>
      <c r="H225" s="279">
        <f t="shared" si="42"/>
        <v>47078656.780000001</v>
      </c>
      <c r="I225" s="280">
        <f>SUM(B225:H225)</f>
        <v>53628042.780000001</v>
      </c>
    </row>
  </sheetData>
  <conditionalFormatting sqref="A110:H113 F11:AC16 F28:AC32 F17:H27 J17:AC27 B33:G37 D38:G39 A33:E38 F40:AC44 F33:H39 J33:AC39 F51:AC129 F45:H50 K45:AC50">
    <cfRule type="cellIs" dxfId="69" priority="20" stopIfTrue="1" operator="lessThan">
      <formula>0</formula>
    </cfRule>
  </conditionalFormatting>
  <conditionalFormatting sqref="A138:H141 A143:H158">
    <cfRule type="cellIs" dxfId="68" priority="21" stopIfTrue="1" operator="lessThan">
      <formula>0</formula>
    </cfRule>
  </conditionalFormatting>
  <conditionalFormatting sqref="A168:H168">
    <cfRule type="cellIs" dxfId="67" priority="51" stopIfTrue="1" operator="lessThan">
      <formula>0</formula>
    </cfRule>
  </conditionalFormatting>
  <conditionalFormatting sqref="A179:H180">
    <cfRule type="cellIs" dxfId="66" priority="59" stopIfTrue="1" operator="lessThan">
      <formula>0</formula>
    </cfRule>
  </conditionalFormatting>
  <conditionalFormatting sqref="A122:I136">
    <cfRule type="cellIs" dxfId="65" priority="23" stopIfTrue="1" operator="lessThan">
      <formula>0</formula>
    </cfRule>
  </conditionalFormatting>
  <conditionalFormatting sqref="A142:I143">
    <cfRule type="cellIs" dxfId="64" priority="24" stopIfTrue="1" operator="lessThan">
      <formula>0</formula>
    </cfRule>
  </conditionalFormatting>
  <conditionalFormatting sqref="A145:I146">
    <cfRule type="cellIs" dxfId="63" priority="25" stopIfTrue="1" operator="lessThan">
      <formula>0</formula>
    </cfRule>
  </conditionalFormatting>
  <conditionalFormatting sqref="A16:J16 I28 J29:AC31 A19:H22 B17:H18 J17:J22">
    <cfRule type="cellIs" dxfId="62" priority="26" stopIfTrue="1" operator="lessThan">
      <formula>0</formula>
    </cfRule>
  </conditionalFormatting>
  <conditionalFormatting sqref="A44:J44 I51 J52:AC54">
    <cfRule type="cellIs" dxfId="61" priority="27" stopIfTrue="1" operator="lessThan">
      <formula>0</formula>
    </cfRule>
  </conditionalFormatting>
  <conditionalFormatting sqref="A55:J55 I56:I65 J66:AC68">
    <cfRule type="cellIs" dxfId="60" priority="28" stopIfTrue="1" operator="lessThan">
      <formula>0</formula>
    </cfRule>
  </conditionalFormatting>
  <conditionalFormatting sqref="A69:J69 J83:AC85 M86">
    <cfRule type="cellIs" dxfId="59" priority="29" stopIfTrue="1" operator="lessThan">
      <formula>0</formula>
    </cfRule>
  </conditionalFormatting>
  <conditionalFormatting sqref="A86:J86 I87:I105">
    <cfRule type="cellIs" dxfId="58" priority="30" stopIfTrue="1" operator="lessThan">
      <formula>0</formula>
    </cfRule>
  </conditionalFormatting>
  <conditionalFormatting sqref="A109:J109 H118:AC120 I121:I130">
    <cfRule type="cellIs" dxfId="57" priority="31" stopIfTrue="1" operator="lessThan">
      <formula>0</formula>
    </cfRule>
  </conditionalFormatting>
  <conditionalFormatting sqref="A121:J121 J134:AC136">
    <cfRule type="cellIs" dxfId="56" priority="32" stopIfTrue="1" operator="lessThan">
      <formula>0</formula>
    </cfRule>
  </conditionalFormatting>
  <conditionalFormatting sqref="A137:J137 H162:AC164 A165:J167 J185:AC187 A188:J188 J223:AC225">
    <cfRule type="cellIs" dxfId="55" priority="33" stopIfTrue="1" operator="lessThan">
      <formula>0</formula>
    </cfRule>
  </conditionalFormatting>
  <conditionalFormatting sqref="C4:F4 C13:F15 A32:G32 J33:J40 I70:I82 I189:I221 H197 A40:I43 H33:H39">
    <cfRule type="cellIs" dxfId="54" priority="34" stopIfTrue="1" operator="lessThan">
      <formula>0</formula>
    </cfRule>
  </conditionalFormatting>
  <conditionalFormatting sqref="C41:H43">
    <cfRule type="cellIs" dxfId="53" priority="35" stopIfTrue="1" operator="lessThan">
      <formula>0</formula>
    </cfRule>
  </conditionalFormatting>
  <conditionalFormatting sqref="F130:I130 K130:AC130 F131:AC141 A143:E144 F144:AC144 K145:AC146 A147:AC167 J168:AC168 A169:AC178 K179:AC180 F181:AC189 A181:B200 C181:E212 J190:AC198 F190:H199 K199:AC199 F200:G200 J200:AC212 B201:B212 F201:H212 A1:AC7 A11:E16 A19:E32 B17:E18 A40:E44 A51:E141 B45:E50">
    <cfRule type="cellIs" dxfId="52" priority="36" stopIfTrue="1" operator="lessThan">
      <formula>0</formula>
    </cfRule>
  </conditionalFormatting>
  <conditionalFormatting sqref="H114:H117 A114:G120">
    <cfRule type="cellIs" dxfId="51" priority="37" stopIfTrue="1" operator="lessThan">
      <formula>0</formula>
    </cfRule>
  </conditionalFormatting>
  <conditionalFormatting sqref="H159:H161 A159:G164 B213:H213 A214:H221 A222:I225">
    <cfRule type="cellIs" dxfId="50" priority="38" stopIfTrue="1" operator="lessThan">
      <formula>0</formula>
    </cfRule>
  </conditionalFormatting>
  <conditionalFormatting sqref="H32:J32 J41:AC43">
    <cfRule type="cellIs" dxfId="49" priority="39" stopIfTrue="1" operator="lessThan">
      <formula>0</formula>
    </cfRule>
  </conditionalFormatting>
  <conditionalFormatting sqref="I138:I159">
    <cfRule type="cellIs" dxfId="48" priority="40" stopIfTrue="1" operator="lessThan">
      <formula>0</formula>
    </cfRule>
  </conditionalFormatting>
  <conditionalFormatting sqref="I166:I181">
    <cfRule type="cellIs" dxfId="47" priority="52" stopIfTrue="1" operator="lessThan">
      <formula>0</formula>
    </cfRule>
  </conditionalFormatting>
  <conditionalFormatting sqref="I110:J117">
    <cfRule type="cellIs" dxfId="46" priority="41" stopIfTrue="1" operator="lessThan">
      <formula>0</formula>
    </cfRule>
  </conditionalFormatting>
  <conditionalFormatting sqref="J122:J133">
    <cfRule type="cellIs" dxfId="45" priority="42" stopIfTrue="1" operator="lessThan">
      <formula>0</formula>
    </cfRule>
  </conditionalFormatting>
  <conditionalFormatting sqref="J138:J161">
    <cfRule type="cellIs" dxfId="44" priority="43" stopIfTrue="1" operator="lessThan">
      <formula>0</formula>
    </cfRule>
  </conditionalFormatting>
  <conditionalFormatting sqref="J179:J184 A179:I187">
    <cfRule type="cellIs" dxfId="43" priority="44" stopIfTrue="1" operator="lessThan">
      <formula>0</formula>
    </cfRule>
  </conditionalFormatting>
  <conditionalFormatting sqref="J189:J198 A189:H199">
    <cfRule type="cellIs" dxfId="42" priority="22" stopIfTrue="1" operator="lessThan">
      <formula>0</formula>
    </cfRule>
  </conditionalFormatting>
  <conditionalFormatting sqref="J200:J222">
    <cfRule type="cellIs" dxfId="41" priority="19" stopIfTrue="1" operator="lessThan">
      <formula>0</formula>
    </cfRule>
  </conditionalFormatting>
  <conditionalFormatting sqref="K142:AC143">
    <cfRule type="cellIs" dxfId="40" priority="45" stopIfTrue="1" operator="lessThan">
      <formula>0</formula>
    </cfRule>
  </conditionalFormatting>
  <conditionalFormatting sqref="M109">
    <cfRule type="cellIs" dxfId="39" priority="46" stopIfTrue="1" operator="lessThan">
      <formula>0</formula>
    </cfRule>
  </conditionalFormatting>
  <conditionalFormatting sqref="M121">
    <cfRule type="cellIs" dxfId="38" priority="47" stopIfTrue="1" operator="lessThan">
      <formula>0</formula>
    </cfRule>
  </conditionalFormatting>
  <conditionalFormatting sqref="M137">
    <cfRule type="cellIs" dxfId="37" priority="48" stopIfTrue="1" operator="lessThan">
      <formula>0</formula>
    </cfRule>
  </conditionalFormatting>
  <conditionalFormatting sqref="M165">
    <cfRule type="cellIs" dxfId="36" priority="49" stopIfTrue="1" operator="lessThan">
      <formula>0</formula>
    </cfRule>
  </conditionalFormatting>
  <conditionalFormatting sqref="M188">
    <cfRule type="cellIs" dxfId="35" priority="50" stopIfTrue="1" operator="lessThan">
      <formula>0</formula>
    </cfRule>
  </conditionalFormatting>
  <conditionalFormatting sqref="B10:H10 K10:AC10">
    <cfRule type="cellIs" dxfId="34" priority="16" stopIfTrue="1" operator="lessThan">
      <formula>0</formula>
    </cfRule>
  </conditionalFormatting>
  <conditionalFormatting sqref="A10">
    <cfRule type="cellIs" dxfId="33" priority="15" stopIfTrue="1" operator="lessThan">
      <formula>0</formula>
    </cfRule>
  </conditionalFormatting>
  <conditionalFormatting sqref="B9:H9 K9:AC9">
    <cfRule type="cellIs" dxfId="32" priority="14" stopIfTrue="1" operator="lessThan">
      <formula>0</formula>
    </cfRule>
  </conditionalFormatting>
  <conditionalFormatting sqref="B8:H8 K8:AC8">
    <cfRule type="cellIs" dxfId="31" priority="12" stopIfTrue="1" operator="lessThan">
      <formula>0</formula>
    </cfRule>
  </conditionalFormatting>
  <conditionalFormatting sqref="A8:A9">
    <cfRule type="cellIs" dxfId="30" priority="11" stopIfTrue="1" operator="lessThan">
      <formula>0</formula>
    </cfRule>
  </conditionalFormatting>
  <conditionalFormatting sqref="A17:A18">
    <cfRule type="cellIs" dxfId="29" priority="10" stopIfTrue="1" operator="lessThan">
      <formula>0</formula>
    </cfRule>
  </conditionalFormatting>
  <conditionalFormatting sqref="I8:I10">
    <cfRule type="cellIs" dxfId="28" priority="9" stopIfTrue="1" operator="lessThan">
      <formula>0</formula>
    </cfRule>
  </conditionalFormatting>
  <conditionalFormatting sqref="I17:I27">
    <cfRule type="cellIs" dxfId="27" priority="8" stopIfTrue="1" operator="lessThan">
      <formula>0</formula>
    </cfRule>
  </conditionalFormatting>
  <conditionalFormatting sqref="I33:I39">
    <cfRule type="cellIs" dxfId="26" priority="6" stopIfTrue="1" operator="lessThan">
      <formula>0</formula>
    </cfRule>
  </conditionalFormatting>
  <conditionalFormatting sqref="A45:A50">
    <cfRule type="cellIs" dxfId="25" priority="4" stopIfTrue="1" operator="lessThan">
      <formula>0</formula>
    </cfRule>
  </conditionalFormatting>
  <conditionalFormatting sqref="I45:I50">
    <cfRule type="cellIs" dxfId="24" priority="3" stopIfTrue="1" operator="lessThan">
      <formula>0</formula>
    </cfRule>
  </conditionalFormatting>
  <conditionalFormatting sqref="J45">
    <cfRule type="cellIs" dxfId="23" priority="2" stopIfTrue="1" operator="lessThan">
      <formula>0</formula>
    </cfRule>
  </conditionalFormatting>
  <conditionalFormatting sqref="J46:J50">
    <cfRule type="cellIs" dxfId="22" priority="1" stopIfTrue="1" operator="lessThan">
      <formula>0</formula>
    </cfRule>
  </conditionalFormatting>
  <pageMargins left="0.7" right="0.7" top="0.75" bottom="0.75" header="0" footer="0"/>
  <pageSetup paperSize="9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143"/>
  <sheetViews>
    <sheetView workbookViewId="0">
      <pane xSplit="1" ySplit="5" topLeftCell="B15" activePane="bottomRight" state="frozen"/>
      <selection activeCell="E13" sqref="E13"/>
      <selection pane="topRight" activeCell="E13" sqref="E13"/>
      <selection pane="bottomLeft" activeCell="E13" sqref="E13"/>
      <selection pane="bottomRight" activeCell="F27" sqref="F27"/>
    </sheetView>
  </sheetViews>
  <sheetFormatPr defaultColWidth="14.42578125" defaultRowHeight="15" customHeight="1" x14ac:dyDescent="0.3"/>
  <cols>
    <col min="1" max="1" width="17.140625" style="137" customWidth="1"/>
    <col min="2" max="2" width="35.140625" style="961" customWidth="1"/>
    <col min="3" max="3" width="35.140625" style="137" customWidth="1"/>
    <col min="4" max="4" width="32.7109375" style="137" customWidth="1"/>
    <col min="5" max="5" width="33.140625" style="137" customWidth="1"/>
    <col min="6" max="6" width="32.7109375" style="137" customWidth="1"/>
    <col min="7" max="7" width="22.85546875" style="137" customWidth="1"/>
    <col min="8" max="8" width="18" style="137" customWidth="1"/>
    <col min="9" max="26" width="8.7109375" style="137" customWidth="1"/>
    <col min="27" max="16384" width="14.42578125" style="137"/>
  </cols>
  <sheetData>
    <row r="1" spans="1:7" ht="18.75" customHeight="1" x14ac:dyDescent="0.3">
      <c r="A1" s="136" t="s">
        <v>358</v>
      </c>
      <c r="B1" s="136"/>
      <c r="C1" s="136"/>
      <c r="D1" s="136"/>
      <c r="E1" s="136"/>
      <c r="F1" s="136"/>
      <c r="G1" s="195"/>
    </row>
    <row r="2" spans="1:7" ht="78.75" customHeight="1" x14ac:dyDescent="0.3">
      <c r="A2" s="274"/>
      <c r="B2" s="275" t="str">
        <f>'ใบกัน 900-ลงทุน'!E2</f>
        <v>เงินบาทสมทบกองทุน ASEAN+3 Finance Cooperation</v>
      </c>
      <c r="C2" s="275" t="str">
        <f>'ใบกัน 900-ลงทุน'!F2</f>
        <v>การบริจาคเงินสำหรับการเพิ่มทุนกองทุนพัฒนาเอเชีย ครั้งที่ 11 (ADF : XII) งวดที่ 9/10</v>
      </c>
      <c r="D2" s="275" t="str">
        <f>'ใบกัน 900-ลงทุน'!G2</f>
        <v>การบริจาคในการเพิ่มทุนสมาคมพัฒนาการระหว่างประเทศ International Development  Association (IDA)) ครั้งที่ 18 งวดที่ 9/9</v>
      </c>
      <c r="E2" s="275" t="str">
        <f>'ใบกัน 900-ลงทุน'!H2</f>
        <v>การบริจาคในการเพิ่มทุนสมาคมพัฒนาการระหว่างประเทศ International Development  Association (IDA)) ครั้งที่ 19 งวดที่ 6/9</v>
      </c>
      <c r="F2" s="275" t="str">
        <f>'ใบกัน 900-ลงทุน'!I2</f>
        <v>การบริจาคในการเพิ่มทุนสมาคมพัฒนาการระหว่างประเทศ International Development  Association (IDA)) ครั้งที่ 20 งวดที่ 4/4</v>
      </c>
      <c r="G2" s="274" t="s">
        <v>208</v>
      </c>
    </row>
    <row r="3" spans="1:7" ht="18.75" customHeight="1" x14ac:dyDescent="0.3">
      <c r="A3" s="145" t="s">
        <v>209</v>
      </c>
      <c r="B3" s="145">
        <v>0</v>
      </c>
      <c r="C3" s="145">
        <v>0</v>
      </c>
      <c r="D3" s="145">
        <v>0</v>
      </c>
      <c r="E3" s="145">
        <v>0</v>
      </c>
      <c r="F3" s="145">
        <v>0</v>
      </c>
      <c r="G3" s="145">
        <f>SUM(C3:F3)</f>
        <v>0</v>
      </c>
    </row>
    <row r="4" spans="1:7" ht="18.75" customHeight="1" x14ac:dyDescent="0.3">
      <c r="A4" s="145" t="s">
        <v>210</v>
      </c>
      <c r="B4" s="145">
        <f>'ใบกัน 900-ลงทุน'!E4</f>
        <v>69000</v>
      </c>
      <c r="C4" s="145">
        <f>'ใบกัน 900-ลงทุน'!F4</f>
        <v>4342000</v>
      </c>
      <c r="D4" s="145">
        <f>'ใบกัน 900-ลงทุน'!G4</f>
        <v>16500000</v>
      </c>
      <c r="E4" s="145">
        <f>'ใบกัน 900-ลงทุน'!H4</f>
        <v>25270000</v>
      </c>
      <c r="F4" s="145">
        <f>'ใบกัน 900-ลงทุน'!I4</f>
        <v>81390000</v>
      </c>
      <c r="G4" s="145">
        <f>SUM(B4:F4)</f>
        <v>127571000</v>
      </c>
    </row>
    <row r="5" spans="1:7" ht="18.75" customHeight="1" x14ac:dyDescent="0.3">
      <c r="A5" s="145" t="s">
        <v>211</v>
      </c>
      <c r="B5" s="145"/>
      <c r="C5" s="145"/>
      <c r="D5" s="145"/>
      <c r="E5" s="145"/>
      <c r="F5" s="145"/>
      <c r="G5" s="145"/>
    </row>
    <row r="6" spans="1:7" ht="18.75" customHeight="1" x14ac:dyDescent="0.3">
      <c r="A6" s="277" t="s">
        <v>212</v>
      </c>
      <c r="B6" s="136"/>
      <c r="C6" s="136"/>
      <c r="D6" s="136"/>
      <c r="E6" s="136"/>
      <c r="F6" s="136"/>
      <c r="G6" s="145"/>
    </row>
    <row r="7" spans="1:7" ht="18.75" customHeight="1" x14ac:dyDescent="0.3">
      <c r="A7" s="278">
        <v>243901</v>
      </c>
      <c r="B7" s="136"/>
      <c r="C7" s="136">
        <v>4342000</v>
      </c>
      <c r="D7" s="136">
        <v>16500000</v>
      </c>
      <c r="E7" s="136">
        <v>25270000</v>
      </c>
      <c r="F7" s="136">
        <v>81390000</v>
      </c>
      <c r="G7" s="145">
        <f>SUM(C7:F7)</f>
        <v>127502000</v>
      </c>
    </row>
    <row r="19" spans="1:7" ht="18.75" customHeight="1" x14ac:dyDescent="0.3">
      <c r="A19" s="279" t="s">
        <v>213</v>
      </c>
      <c r="B19" s="279">
        <f>SUM(B6:B18)</f>
        <v>0</v>
      </c>
      <c r="C19" s="279">
        <f>SUM(C6:C18)</f>
        <v>4342000</v>
      </c>
      <c r="D19" s="279">
        <f>SUM(D6:D18)</f>
        <v>16500000</v>
      </c>
      <c r="E19" s="279">
        <f>SUM(E6:E18)</f>
        <v>25270000</v>
      </c>
      <c r="F19" s="279">
        <f>SUM(F6:F18)</f>
        <v>81390000</v>
      </c>
      <c r="G19" s="280">
        <f>SUM(C19:F19)</f>
        <v>127502000</v>
      </c>
    </row>
    <row r="20" spans="1:7" ht="18.75" customHeight="1" x14ac:dyDescent="0.3">
      <c r="A20" s="279" t="s">
        <v>341</v>
      </c>
      <c r="B20" s="279">
        <f>SUM(B3+B19)</f>
        <v>0</v>
      </c>
      <c r="C20" s="279">
        <f>SUM(C3+C19)</f>
        <v>4342000</v>
      </c>
      <c r="D20" s="279">
        <f>SUM(D3+D19)</f>
        <v>16500000</v>
      </c>
      <c r="E20" s="279">
        <f>SUM(E3+E19)</f>
        <v>25270000</v>
      </c>
      <c r="F20" s="279">
        <f>SUM(F3+F19)</f>
        <v>81390000</v>
      </c>
      <c r="G20" s="280">
        <f>SUM(B20:F20)</f>
        <v>127502000</v>
      </c>
    </row>
    <row r="21" spans="1:7" ht="18.75" customHeight="1" x14ac:dyDescent="0.3">
      <c r="A21" s="279" t="s">
        <v>210</v>
      </c>
      <c r="B21" s="279">
        <f>SUM(B4-B19)</f>
        <v>69000</v>
      </c>
      <c r="C21" s="279">
        <f>SUM(C4-C19)</f>
        <v>0</v>
      </c>
      <c r="D21" s="279">
        <f>SUM(D4-D19)</f>
        <v>0</v>
      </c>
      <c r="E21" s="279">
        <f>SUM(E4-E19)</f>
        <v>0</v>
      </c>
      <c r="F21" s="279">
        <f>SUM(F4-F19)</f>
        <v>0</v>
      </c>
      <c r="G21" s="280">
        <f>SUM(B21:F21)</f>
        <v>69000</v>
      </c>
    </row>
    <row r="22" spans="1:7" ht="18.75" customHeight="1" x14ac:dyDescent="0.3">
      <c r="A22" s="277" t="s">
        <v>216</v>
      </c>
      <c r="B22" s="136"/>
      <c r="C22" s="136"/>
      <c r="D22" s="136"/>
      <c r="E22" s="136"/>
      <c r="F22" s="136"/>
      <c r="G22" s="145"/>
    </row>
    <row r="23" spans="1:7" ht="18.75" customHeight="1" x14ac:dyDescent="0.3">
      <c r="A23" s="996">
        <v>45609</v>
      </c>
      <c r="B23" s="136">
        <v>35658</v>
      </c>
      <c r="C23" s="136"/>
      <c r="D23" s="136"/>
      <c r="E23" s="136"/>
      <c r="F23" s="136"/>
      <c r="G23" s="145"/>
    </row>
    <row r="24" spans="1:7" ht="18.75" customHeight="1" x14ac:dyDescent="0.3">
      <c r="A24" s="136"/>
      <c r="B24" s="136"/>
      <c r="C24" s="136"/>
      <c r="D24" s="136"/>
      <c r="E24" s="136"/>
      <c r="F24" s="136"/>
      <c r="G24" s="145"/>
    </row>
    <row r="25" spans="1:7" ht="18.75" customHeight="1" x14ac:dyDescent="0.3">
      <c r="A25" s="136"/>
      <c r="B25" s="136"/>
      <c r="C25" s="136"/>
      <c r="D25" s="136"/>
      <c r="E25" s="136"/>
      <c r="F25" s="136"/>
      <c r="G25" s="145"/>
    </row>
    <row r="26" spans="1:7" ht="18.75" customHeight="1" x14ac:dyDescent="0.3">
      <c r="A26" s="136"/>
      <c r="B26" s="136"/>
      <c r="C26" s="136"/>
      <c r="D26" s="136"/>
      <c r="E26" s="136"/>
      <c r="F26" s="136"/>
      <c r="G26" s="145"/>
    </row>
    <row r="27" spans="1:7" ht="18.75" customHeight="1" x14ac:dyDescent="0.3">
      <c r="A27" s="136"/>
      <c r="B27" s="136"/>
      <c r="C27" s="136"/>
      <c r="D27" s="136"/>
      <c r="E27" s="136"/>
      <c r="F27" s="136"/>
      <c r="G27" s="145"/>
    </row>
    <row r="28" spans="1:7" ht="18.75" customHeight="1" x14ac:dyDescent="0.3">
      <c r="A28" s="136"/>
      <c r="B28" s="136"/>
      <c r="C28" s="136"/>
      <c r="D28" s="136"/>
      <c r="E28" s="136"/>
      <c r="F28" s="136"/>
      <c r="G28" s="145"/>
    </row>
    <row r="29" spans="1:7" ht="15.75" customHeight="1" x14ac:dyDescent="0.3">
      <c r="A29" s="136"/>
      <c r="B29" s="136"/>
      <c r="C29" s="136"/>
      <c r="D29" s="136"/>
      <c r="E29" s="136"/>
      <c r="F29" s="136"/>
      <c r="G29" s="145"/>
    </row>
    <row r="30" spans="1:7" ht="18.75" customHeight="1" x14ac:dyDescent="0.3">
      <c r="A30" s="279" t="s">
        <v>217</v>
      </c>
      <c r="B30" s="279">
        <f>SUM(B22:B29)</f>
        <v>35658</v>
      </c>
      <c r="C30" s="279">
        <f>SUM(C22:C29)</f>
        <v>0</v>
      </c>
      <c r="D30" s="279">
        <f>SUM(D22:D29)</f>
        <v>0</v>
      </c>
      <c r="E30" s="279">
        <f>SUM(E22:E29)</f>
        <v>0</v>
      </c>
      <c r="F30" s="279">
        <f>SUM(F22:F29)</f>
        <v>0</v>
      </c>
      <c r="G30" s="280">
        <f>SUM(C30:F30)</f>
        <v>0</v>
      </c>
    </row>
    <row r="31" spans="1:7" ht="18.75" customHeight="1" x14ac:dyDescent="0.3">
      <c r="A31" s="279" t="s">
        <v>218</v>
      </c>
      <c r="B31" s="279">
        <f>SUM(B20+B30)</f>
        <v>35658</v>
      </c>
      <c r="C31" s="279">
        <f>SUM(C20+C30)</f>
        <v>4342000</v>
      </c>
      <c r="D31" s="279">
        <f>SUM(D20+D30)</f>
        <v>16500000</v>
      </c>
      <c r="E31" s="279">
        <f>SUM(E20+E30)</f>
        <v>25270000</v>
      </c>
      <c r="F31" s="279">
        <f>SUM(F20+F30)</f>
        <v>81390000</v>
      </c>
      <c r="G31" s="280">
        <f>SUM(B31:F31)</f>
        <v>127537658</v>
      </c>
    </row>
    <row r="32" spans="1:7" ht="18.75" customHeight="1" x14ac:dyDescent="0.3">
      <c r="A32" s="279" t="s">
        <v>219</v>
      </c>
      <c r="B32" s="279">
        <f>SUM(B21-B30)</f>
        <v>33342</v>
      </c>
      <c r="C32" s="279">
        <f>SUM(C21-C30)</f>
        <v>0</v>
      </c>
      <c r="D32" s="279">
        <f>SUM(D21-D30)</f>
        <v>0</v>
      </c>
      <c r="E32" s="279">
        <f>SUM(E21-E30)</f>
        <v>0</v>
      </c>
      <c r="F32" s="279">
        <f>SUM(F21-F30)</f>
        <v>0</v>
      </c>
      <c r="G32" s="280">
        <f>SUM(B32:F32)</f>
        <v>33342</v>
      </c>
    </row>
    <row r="33" spans="1:7" ht="18.75" customHeight="1" x14ac:dyDescent="0.3">
      <c r="A33" s="277" t="s">
        <v>220</v>
      </c>
      <c r="B33" s="136"/>
      <c r="C33" s="136"/>
      <c r="D33" s="136"/>
      <c r="E33" s="136"/>
      <c r="F33" s="136"/>
      <c r="G33" s="145"/>
    </row>
    <row r="34" spans="1:7" ht="18.75" customHeight="1" x14ac:dyDescent="0.3">
      <c r="A34" s="278"/>
      <c r="B34" s="136"/>
      <c r="C34" s="136"/>
      <c r="D34" s="136"/>
      <c r="E34" s="136"/>
      <c r="F34" s="136"/>
      <c r="G34" s="145"/>
    </row>
    <row r="35" spans="1:7" ht="18.75" customHeight="1" x14ac:dyDescent="0.3">
      <c r="A35" s="136"/>
      <c r="B35" s="136"/>
      <c r="C35" s="136"/>
      <c r="D35" s="136"/>
      <c r="E35" s="136"/>
      <c r="F35" s="136"/>
      <c r="G35" s="145"/>
    </row>
    <row r="36" spans="1:7" ht="18.75" customHeight="1" x14ac:dyDescent="0.3">
      <c r="A36" s="136"/>
      <c r="B36" s="136"/>
      <c r="C36" s="136"/>
      <c r="D36" s="136"/>
      <c r="E36" s="136"/>
      <c r="F36" s="136"/>
      <c r="G36" s="145"/>
    </row>
    <row r="37" spans="1:7" ht="18.75" customHeight="1" x14ac:dyDescent="0.3">
      <c r="A37" s="136"/>
      <c r="B37" s="136"/>
      <c r="C37" s="136"/>
      <c r="D37" s="136"/>
      <c r="E37" s="136"/>
      <c r="F37" s="136"/>
      <c r="G37" s="145"/>
    </row>
    <row r="38" spans="1:7" ht="18.75" customHeight="1" x14ac:dyDescent="0.3">
      <c r="A38" s="136"/>
      <c r="B38" s="136"/>
      <c r="C38" s="136"/>
      <c r="D38" s="136"/>
      <c r="E38" s="136"/>
      <c r="F38" s="136"/>
      <c r="G38" s="145"/>
    </row>
    <row r="39" spans="1:7" ht="18.75" customHeight="1" x14ac:dyDescent="0.3">
      <c r="A39" s="136"/>
      <c r="B39" s="136"/>
      <c r="C39" s="136"/>
      <c r="D39" s="136"/>
      <c r="E39" s="136"/>
      <c r="F39" s="136"/>
      <c r="G39" s="145"/>
    </row>
    <row r="40" spans="1:7" ht="18.75" customHeight="1" x14ac:dyDescent="0.3">
      <c r="A40" s="136"/>
      <c r="B40" s="136"/>
      <c r="C40" s="136"/>
      <c r="D40" s="136"/>
      <c r="E40" s="136"/>
      <c r="F40" s="136"/>
      <c r="G40" s="145"/>
    </row>
    <row r="41" spans="1:7" ht="15.75" customHeight="1" x14ac:dyDescent="0.3">
      <c r="A41" s="136"/>
      <c r="B41" s="136"/>
      <c r="C41" s="136"/>
      <c r="D41" s="136"/>
      <c r="E41" s="136"/>
      <c r="F41" s="136"/>
      <c r="G41" s="145"/>
    </row>
    <row r="42" spans="1:7" ht="18.75" customHeight="1" x14ac:dyDescent="0.3">
      <c r="A42" s="279" t="s">
        <v>221</v>
      </c>
      <c r="B42" s="279">
        <f>SUM(B33:B41)</f>
        <v>0</v>
      </c>
      <c r="C42" s="279">
        <f>SUM(C33:C41)</f>
        <v>0</v>
      </c>
      <c r="D42" s="279">
        <f>SUM(D33:D41)</f>
        <v>0</v>
      </c>
      <c r="E42" s="279">
        <f>SUM(E33:E41)</f>
        <v>0</v>
      </c>
      <c r="F42" s="279">
        <f>SUM(F33:F41)</f>
        <v>0</v>
      </c>
      <c r="G42" s="280">
        <f>SUM(C42:F42)</f>
        <v>0</v>
      </c>
    </row>
    <row r="43" spans="1:7" ht="18.75" customHeight="1" x14ac:dyDescent="0.3">
      <c r="A43" s="279" t="s">
        <v>222</v>
      </c>
      <c r="B43" s="279">
        <f>SUM(B31+B42)</f>
        <v>35658</v>
      </c>
      <c r="C43" s="279">
        <f>SUM(C31+C42)</f>
        <v>4342000</v>
      </c>
      <c r="D43" s="279">
        <f>SUM(D31+D42)</f>
        <v>16500000</v>
      </c>
      <c r="E43" s="279">
        <f>SUM(E31+E42)</f>
        <v>25270000</v>
      </c>
      <c r="F43" s="279">
        <f>SUM(F31+F42)</f>
        <v>81390000</v>
      </c>
      <c r="G43" s="280">
        <f>SUM(C43:F43)</f>
        <v>127502000</v>
      </c>
    </row>
    <row r="44" spans="1:7" ht="18.75" customHeight="1" x14ac:dyDescent="0.3">
      <c r="A44" s="279" t="s">
        <v>223</v>
      </c>
      <c r="B44" s="279">
        <f>SUM(B32-B42)</f>
        <v>33342</v>
      </c>
      <c r="C44" s="279">
        <f>SUM(C32-C42)</f>
        <v>0</v>
      </c>
      <c r="D44" s="279">
        <f>SUM(D32-D42)</f>
        <v>0</v>
      </c>
      <c r="E44" s="279">
        <f>SUM(E32-E42)</f>
        <v>0</v>
      </c>
      <c r="F44" s="279">
        <f>SUM(F32-F42)</f>
        <v>0</v>
      </c>
      <c r="G44" s="280">
        <f>SUM(B44:F44)</f>
        <v>33342</v>
      </c>
    </row>
    <row r="45" spans="1:7" ht="18.75" customHeight="1" x14ac:dyDescent="0.3">
      <c r="A45" s="277" t="s">
        <v>224</v>
      </c>
      <c r="B45" s="136"/>
      <c r="C45" s="136"/>
      <c r="D45" s="136"/>
      <c r="E45" s="136"/>
      <c r="F45" s="136"/>
      <c r="G45" s="145"/>
    </row>
    <row r="53" spans="1:7" ht="18.75" customHeight="1" x14ac:dyDescent="0.3">
      <c r="A53" s="279" t="s">
        <v>225</v>
      </c>
      <c r="B53" s="279">
        <f>SUM(B45:B52)</f>
        <v>0</v>
      </c>
      <c r="C53" s="279">
        <f>SUM(C45:C52)</f>
        <v>0</v>
      </c>
      <c r="D53" s="279">
        <f>SUM(D45:D52)</f>
        <v>0</v>
      </c>
      <c r="E53" s="279">
        <f>SUM(E45:E52)</f>
        <v>0</v>
      </c>
      <c r="F53" s="279">
        <f>SUM(F45:F52)</f>
        <v>0</v>
      </c>
      <c r="G53" s="280">
        <f>SUM(C53:F53)</f>
        <v>0</v>
      </c>
    </row>
    <row r="54" spans="1:7" ht="18.75" customHeight="1" x14ac:dyDescent="0.3">
      <c r="A54" s="279" t="s">
        <v>226</v>
      </c>
      <c r="B54" s="279">
        <f>SUM(B43+B53)</f>
        <v>35658</v>
      </c>
      <c r="C54" s="279">
        <f>SUM(C43+C53)</f>
        <v>4342000</v>
      </c>
      <c r="D54" s="279">
        <f>SUM(D43+D53)</f>
        <v>16500000</v>
      </c>
      <c r="E54" s="279">
        <f>SUM(E43+E53)</f>
        <v>25270000</v>
      </c>
      <c r="F54" s="279">
        <f>SUM(F43+F53)</f>
        <v>81390000</v>
      </c>
      <c r="G54" s="280">
        <f>SUM(C54:F54)</f>
        <v>127502000</v>
      </c>
    </row>
    <row r="55" spans="1:7" ht="18.75" customHeight="1" x14ac:dyDescent="0.3">
      <c r="A55" s="279" t="s">
        <v>227</v>
      </c>
      <c r="B55" s="279">
        <f>SUM(B44-B53)</f>
        <v>33342</v>
      </c>
      <c r="C55" s="279">
        <f>SUM(C44-C53)</f>
        <v>0</v>
      </c>
      <c r="D55" s="279">
        <f>SUM(D44-D53)</f>
        <v>0</v>
      </c>
      <c r="E55" s="279">
        <f>SUM(E44-E53)</f>
        <v>0</v>
      </c>
      <c r="F55" s="279">
        <f>SUM(F44-F53)</f>
        <v>0</v>
      </c>
      <c r="G55" s="280">
        <f>SUM(B55:F55)</f>
        <v>33342</v>
      </c>
    </row>
    <row r="56" spans="1:7" ht="18.75" customHeight="1" x14ac:dyDescent="0.3">
      <c r="A56" s="277" t="s">
        <v>228</v>
      </c>
      <c r="B56" s="136"/>
      <c r="C56" s="136"/>
      <c r="D56" s="136"/>
      <c r="E56" s="136"/>
      <c r="F56" s="136"/>
      <c r="G56" s="145"/>
    </row>
    <row r="57" spans="1:7" ht="18.75" customHeight="1" x14ac:dyDescent="0.3">
      <c r="A57" s="278"/>
      <c r="B57" s="136"/>
      <c r="C57" s="136"/>
      <c r="D57" s="136"/>
      <c r="E57" s="136"/>
      <c r="F57" s="136"/>
      <c r="G57" s="145"/>
    </row>
    <row r="58" spans="1:7" ht="18.75" customHeight="1" x14ac:dyDescent="0.3">
      <c r="A58" s="136"/>
      <c r="B58" s="136"/>
      <c r="C58" s="136"/>
      <c r="D58" s="136"/>
      <c r="E58" s="136"/>
      <c r="F58" s="136"/>
      <c r="G58" s="145"/>
    </row>
    <row r="59" spans="1:7" ht="18.75" customHeight="1" x14ac:dyDescent="0.3">
      <c r="A59" s="136"/>
      <c r="B59" s="136"/>
      <c r="C59" s="136"/>
      <c r="D59" s="136"/>
      <c r="E59" s="136"/>
      <c r="F59" s="136"/>
      <c r="G59" s="145"/>
    </row>
    <row r="60" spans="1:7" ht="18.75" customHeight="1" x14ac:dyDescent="0.3">
      <c r="A60" s="136"/>
      <c r="B60" s="136"/>
      <c r="C60" s="136"/>
      <c r="D60" s="136"/>
      <c r="E60" s="136"/>
      <c r="F60" s="136"/>
      <c r="G60" s="145"/>
    </row>
    <row r="61" spans="1:7" ht="18.75" customHeight="1" x14ac:dyDescent="0.3">
      <c r="A61" s="136"/>
      <c r="B61" s="136"/>
      <c r="C61" s="136"/>
      <c r="D61" s="136"/>
      <c r="E61" s="136"/>
      <c r="F61" s="136"/>
      <c r="G61" s="145"/>
    </row>
    <row r="62" spans="1:7" ht="18.75" customHeight="1" x14ac:dyDescent="0.3">
      <c r="A62" s="136"/>
      <c r="B62" s="136"/>
      <c r="C62" s="136"/>
      <c r="D62" s="136"/>
      <c r="E62" s="136"/>
      <c r="F62" s="136"/>
      <c r="G62" s="145"/>
    </row>
    <row r="63" spans="1:7" ht="15.75" customHeight="1" x14ac:dyDescent="0.3">
      <c r="A63" s="136"/>
      <c r="B63" s="136"/>
      <c r="C63" s="136"/>
      <c r="D63" s="136"/>
      <c r="E63" s="136"/>
      <c r="F63" s="136"/>
      <c r="G63" s="145"/>
    </row>
    <row r="64" spans="1:7" ht="18.75" customHeight="1" x14ac:dyDescent="0.3">
      <c r="A64" s="279" t="s">
        <v>229</v>
      </c>
      <c r="B64" s="279">
        <f>SUM(B56:B63)</f>
        <v>0</v>
      </c>
      <c r="C64" s="279">
        <f>SUM(C56:C63)</f>
        <v>0</v>
      </c>
      <c r="D64" s="279">
        <f>SUM(D56:D63)</f>
        <v>0</v>
      </c>
      <c r="E64" s="279">
        <f>SUM(E56:E63)</f>
        <v>0</v>
      </c>
      <c r="F64" s="279">
        <f>SUM(F56:F63)</f>
        <v>0</v>
      </c>
      <c r="G64" s="280">
        <f>SUM(C64:F64)</f>
        <v>0</v>
      </c>
    </row>
    <row r="65" spans="1:7" ht="18.75" customHeight="1" x14ac:dyDescent="0.3">
      <c r="A65" s="279" t="s">
        <v>230</v>
      </c>
      <c r="B65" s="279">
        <f>SUM(B54+B64)</f>
        <v>35658</v>
      </c>
      <c r="C65" s="279">
        <f>SUM(C54+C64)</f>
        <v>4342000</v>
      </c>
      <c r="D65" s="279">
        <f>SUM(D54+D64)</f>
        <v>16500000</v>
      </c>
      <c r="E65" s="279">
        <f>SUM(E54+E64)</f>
        <v>25270000</v>
      </c>
      <c r="F65" s="279">
        <f>SUM(F54+F64)</f>
        <v>81390000</v>
      </c>
      <c r="G65" s="280">
        <f>SUM(C65:F65)</f>
        <v>127502000</v>
      </c>
    </row>
    <row r="66" spans="1:7" ht="18.75" customHeight="1" x14ac:dyDescent="0.3">
      <c r="A66" s="279" t="s">
        <v>231</v>
      </c>
      <c r="B66" s="279">
        <f>SUM(B55-B64)</f>
        <v>33342</v>
      </c>
      <c r="C66" s="279">
        <f>SUM(C55-C64)</f>
        <v>0</v>
      </c>
      <c r="D66" s="279">
        <f>SUM(D55-D64)</f>
        <v>0</v>
      </c>
      <c r="E66" s="279">
        <f>SUM(E55-E64)</f>
        <v>0</v>
      </c>
      <c r="F66" s="279">
        <f>SUM(F55-F64)</f>
        <v>0</v>
      </c>
      <c r="G66" s="280">
        <f>SUM(B66:F66)</f>
        <v>33342</v>
      </c>
    </row>
    <row r="67" spans="1:7" ht="18.75" customHeight="1" x14ac:dyDescent="0.3">
      <c r="A67" s="277" t="s">
        <v>232</v>
      </c>
      <c r="B67" s="136"/>
      <c r="C67" s="136"/>
      <c r="D67" s="136"/>
      <c r="E67" s="136"/>
      <c r="F67" s="136"/>
      <c r="G67" s="145"/>
    </row>
    <row r="68" spans="1:7" ht="18.75" customHeight="1" x14ac:dyDescent="0.3">
      <c r="A68" s="278"/>
      <c r="B68" s="136"/>
      <c r="C68" s="136"/>
      <c r="D68" s="136"/>
      <c r="E68" s="136"/>
      <c r="F68" s="136"/>
      <c r="G68" s="145"/>
    </row>
    <row r="69" spans="1:7" ht="18.75" customHeight="1" x14ac:dyDescent="0.3">
      <c r="A69" s="136"/>
      <c r="B69" s="136"/>
      <c r="C69" s="136"/>
      <c r="D69" s="136"/>
      <c r="E69" s="136"/>
      <c r="F69" s="136"/>
      <c r="G69" s="145"/>
    </row>
    <row r="70" spans="1:7" ht="18.75" customHeight="1" x14ac:dyDescent="0.3">
      <c r="A70" s="136"/>
      <c r="B70" s="136"/>
      <c r="C70" s="136"/>
      <c r="D70" s="136"/>
      <c r="E70" s="136"/>
      <c r="F70" s="136"/>
      <c r="G70" s="145"/>
    </row>
    <row r="71" spans="1:7" ht="18.75" customHeight="1" x14ac:dyDescent="0.3">
      <c r="A71" s="136"/>
      <c r="B71" s="136"/>
      <c r="C71" s="136"/>
      <c r="D71" s="136"/>
      <c r="E71" s="136"/>
      <c r="F71" s="136"/>
      <c r="G71" s="145"/>
    </row>
    <row r="72" spans="1:7" ht="18.75" customHeight="1" x14ac:dyDescent="0.3">
      <c r="A72" s="136"/>
      <c r="B72" s="136"/>
      <c r="C72" s="136"/>
      <c r="D72" s="136"/>
      <c r="E72" s="136"/>
      <c r="F72" s="136"/>
      <c r="G72" s="145"/>
    </row>
    <row r="73" spans="1:7" ht="18.75" customHeight="1" x14ac:dyDescent="0.3">
      <c r="A73" s="136"/>
      <c r="B73" s="136"/>
      <c r="C73" s="136"/>
      <c r="D73" s="136"/>
      <c r="E73" s="136"/>
      <c r="F73" s="136"/>
      <c r="G73" s="145"/>
    </row>
    <row r="74" spans="1:7" ht="15.75" customHeight="1" x14ac:dyDescent="0.3">
      <c r="A74" s="136"/>
      <c r="B74" s="136"/>
      <c r="C74" s="136"/>
      <c r="D74" s="136"/>
      <c r="E74" s="136"/>
      <c r="F74" s="136"/>
      <c r="G74" s="145"/>
    </row>
    <row r="75" spans="1:7" ht="18.75" customHeight="1" x14ac:dyDescent="0.3">
      <c r="A75" s="279" t="s">
        <v>233</v>
      </c>
      <c r="B75" s="279">
        <f>SUM(B67:B74)</f>
        <v>0</v>
      </c>
      <c r="C75" s="279">
        <f>SUM(C67:C74)</f>
        <v>0</v>
      </c>
      <c r="D75" s="279">
        <f>SUM(D67:D74)</f>
        <v>0</v>
      </c>
      <c r="E75" s="279">
        <f>SUM(E67:E74)</f>
        <v>0</v>
      </c>
      <c r="F75" s="279">
        <f>SUM(F67:F74)</f>
        <v>0</v>
      </c>
      <c r="G75" s="280">
        <f>SUM(C75:F75)</f>
        <v>0</v>
      </c>
    </row>
    <row r="76" spans="1:7" ht="18.75" customHeight="1" x14ac:dyDescent="0.3">
      <c r="A76" s="279" t="s">
        <v>234</v>
      </c>
      <c r="B76" s="279">
        <f>SUM(B65+B75)</f>
        <v>35658</v>
      </c>
      <c r="C76" s="279">
        <f>SUM(C65+C75)</f>
        <v>4342000</v>
      </c>
      <c r="D76" s="279">
        <f>SUM(D65+D75)</f>
        <v>16500000</v>
      </c>
      <c r="E76" s="279">
        <f>SUM(E65+E75)</f>
        <v>25270000</v>
      </c>
      <c r="F76" s="279">
        <f>SUM(F65+F75)</f>
        <v>81390000</v>
      </c>
      <c r="G76" s="280">
        <f>SUM(C76:F76)</f>
        <v>127502000</v>
      </c>
    </row>
    <row r="77" spans="1:7" ht="18.75" customHeight="1" x14ac:dyDescent="0.3">
      <c r="A77" s="279" t="s">
        <v>235</v>
      </c>
      <c r="B77" s="279">
        <f>SUM(B66-B75)</f>
        <v>33342</v>
      </c>
      <c r="C77" s="279">
        <f>SUM(C66-C75)</f>
        <v>0</v>
      </c>
      <c r="D77" s="279">
        <f>SUM(D66-D75)</f>
        <v>0</v>
      </c>
      <c r="E77" s="279">
        <f>SUM(E66-E75)</f>
        <v>0</v>
      </c>
      <c r="F77" s="279">
        <f>SUM(F66-F75)</f>
        <v>0</v>
      </c>
      <c r="G77" s="280">
        <f>SUM(B77:F77)</f>
        <v>33342</v>
      </c>
    </row>
    <row r="78" spans="1:7" ht="18.75" customHeight="1" x14ac:dyDescent="0.3">
      <c r="A78" s="277" t="s">
        <v>236</v>
      </c>
      <c r="B78" s="136"/>
      <c r="C78" s="136"/>
      <c r="D78" s="136"/>
      <c r="E78" s="136"/>
      <c r="F78" s="136"/>
      <c r="G78" s="145"/>
    </row>
    <row r="86" spans="1:7" ht="18.75" customHeight="1" x14ac:dyDescent="0.3">
      <c r="A86" s="279" t="s">
        <v>237</v>
      </c>
      <c r="B86" s="279">
        <f>SUM(B78:B85)</f>
        <v>0</v>
      </c>
      <c r="C86" s="279">
        <f>SUM(C78:C85)</f>
        <v>0</v>
      </c>
      <c r="D86" s="279">
        <f>SUM(D78:D85)</f>
        <v>0</v>
      </c>
      <c r="E86" s="279">
        <f>SUM(E78:E85)</f>
        <v>0</v>
      </c>
      <c r="F86" s="279">
        <f>SUM(F78:F85)</f>
        <v>0</v>
      </c>
      <c r="G86" s="280">
        <f>SUM(C86:F86)</f>
        <v>0</v>
      </c>
    </row>
    <row r="87" spans="1:7" ht="18.75" customHeight="1" x14ac:dyDescent="0.3">
      <c r="A87" s="279" t="s">
        <v>238</v>
      </c>
      <c r="B87" s="279">
        <f>SUM(B76+B86)</f>
        <v>35658</v>
      </c>
      <c r="C87" s="279">
        <f>SUM(C76+C86)</f>
        <v>4342000</v>
      </c>
      <c r="D87" s="279">
        <f>SUM(D76+D86)</f>
        <v>16500000</v>
      </c>
      <c r="E87" s="279">
        <f>SUM(E76+E86)</f>
        <v>25270000</v>
      </c>
      <c r="F87" s="279">
        <f>SUM(F76+F86)</f>
        <v>81390000</v>
      </c>
      <c r="G87" s="280">
        <f>SUM(C87:F87)</f>
        <v>127502000</v>
      </c>
    </row>
    <row r="88" spans="1:7" ht="18.75" customHeight="1" x14ac:dyDescent="0.3">
      <c r="A88" s="279" t="s">
        <v>239</v>
      </c>
      <c r="B88" s="279">
        <f>SUM(B77-B86)</f>
        <v>33342</v>
      </c>
      <c r="C88" s="279">
        <f>SUM(C77-C86)</f>
        <v>0</v>
      </c>
      <c r="D88" s="279">
        <f>SUM(D77-D86)</f>
        <v>0</v>
      </c>
      <c r="E88" s="279">
        <f>SUM(E77-E86)</f>
        <v>0</v>
      </c>
      <c r="F88" s="279">
        <f>SUM(F77-F86)</f>
        <v>0</v>
      </c>
      <c r="G88" s="280">
        <f>SUM(B88:F88)</f>
        <v>33342</v>
      </c>
    </row>
    <row r="89" spans="1:7" ht="18.75" customHeight="1" x14ac:dyDescent="0.3">
      <c r="A89" s="277" t="s">
        <v>240</v>
      </c>
      <c r="B89" s="136"/>
      <c r="C89" s="136"/>
      <c r="D89" s="136"/>
      <c r="E89" s="136"/>
      <c r="F89" s="136"/>
      <c r="G89" s="145"/>
    </row>
    <row r="97" spans="1:7" ht="18.75" customHeight="1" x14ac:dyDescent="0.3">
      <c r="A97" s="279" t="s">
        <v>241</v>
      </c>
      <c r="B97" s="279">
        <f>SUM(B89:B96)</f>
        <v>0</v>
      </c>
      <c r="C97" s="279">
        <f>SUM(C89:C96)</f>
        <v>0</v>
      </c>
      <c r="D97" s="279">
        <f>SUM(D89:D96)</f>
        <v>0</v>
      </c>
      <c r="E97" s="279">
        <f>SUM(E89:E96)</f>
        <v>0</v>
      </c>
      <c r="F97" s="279">
        <f>SUM(F89:F96)</f>
        <v>0</v>
      </c>
      <c r="G97" s="280">
        <f>SUM(C97:F97)</f>
        <v>0</v>
      </c>
    </row>
    <row r="98" spans="1:7" ht="18.75" customHeight="1" x14ac:dyDescent="0.3">
      <c r="A98" s="279" t="s">
        <v>242</v>
      </c>
      <c r="B98" s="279">
        <f>SUM(B87+B97)</f>
        <v>35658</v>
      </c>
      <c r="C98" s="279">
        <f>SUM(C87+C97)</f>
        <v>4342000</v>
      </c>
      <c r="D98" s="279">
        <f>SUM(D87+D97)</f>
        <v>16500000</v>
      </c>
      <c r="E98" s="279">
        <f>SUM(E87+E97)</f>
        <v>25270000</v>
      </c>
      <c r="F98" s="279">
        <f>SUM(F87+F97)</f>
        <v>81390000</v>
      </c>
      <c r="G98" s="280">
        <f>SUM(C98:F98)</f>
        <v>127502000</v>
      </c>
    </row>
    <row r="99" spans="1:7" ht="18.75" customHeight="1" x14ac:dyDescent="0.3">
      <c r="A99" s="279" t="s">
        <v>243</v>
      </c>
      <c r="B99" s="279">
        <f>SUM(B88-B97)</f>
        <v>33342</v>
      </c>
      <c r="C99" s="279">
        <f>SUM(C88-C97)</f>
        <v>0</v>
      </c>
      <c r="D99" s="279">
        <f>SUM(D88-D97)</f>
        <v>0</v>
      </c>
      <c r="E99" s="279">
        <f>SUM(E88-E97)</f>
        <v>0</v>
      </c>
      <c r="F99" s="279">
        <f>SUM(F88-F97)</f>
        <v>0</v>
      </c>
      <c r="G99" s="280">
        <f>SUM(B99:F99)</f>
        <v>33342</v>
      </c>
    </row>
    <row r="100" spans="1:7" ht="18.75" customHeight="1" x14ac:dyDescent="0.3">
      <c r="A100" s="277" t="s">
        <v>244</v>
      </c>
      <c r="B100" s="136"/>
      <c r="C100" s="136"/>
      <c r="D100" s="136"/>
      <c r="E100" s="136"/>
      <c r="F100" s="136"/>
      <c r="G100" s="145"/>
    </row>
    <row r="101" spans="1:7" ht="18.75" customHeight="1" x14ac:dyDescent="0.3">
      <c r="A101" s="278"/>
      <c r="B101" s="136"/>
      <c r="C101" s="136"/>
      <c r="D101" s="136"/>
      <c r="E101" s="136"/>
      <c r="F101" s="136"/>
      <c r="G101" s="145"/>
    </row>
    <row r="102" spans="1:7" ht="18.75" customHeight="1" x14ac:dyDescent="0.3">
      <c r="A102" s="136"/>
      <c r="B102" s="136"/>
      <c r="C102" s="136"/>
      <c r="D102" s="136"/>
      <c r="E102" s="136"/>
      <c r="F102" s="136"/>
      <c r="G102" s="145"/>
    </row>
    <row r="103" spans="1:7" ht="18.75" customHeight="1" x14ac:dyDescent="0.3">
      <c r="A103" s="136"/>
      <c r="B103" s="136"/>
      <c r="C103" s="136"/>
      <c r="D103" s="136"/>
      <c r="E103" s="136"/>
      <c r="F103" s="136"/>
      <c r="G103" s="145"/>
    </row>
    <row r="104" spans="1:7" ht="18.75" customHeight="1" x14ac:dyDescent="0.3">
      <c r="A104" s="136"/>
      <c r="B104" s="136"/>
      <c r="C104" s="136"/>
      <c r="D104" s="136"/>
      <c r="E104" s="136"/>
      <c r="F104" s="136"/>
      <c r="G104" s="145"/>
    </row>
    <row r="105" spans="1:7" ht="18.75" customHeight="1" x14ac:dyDescent="0.3">
      <c r="A105" s="136"/>
      <c r="B105" s="136"/>
      <c r="C105" s="136"/>
      <c r="D105" s="136"/>
      <c r="E105" s="136"/>
      <c r="F105" s="136"/>
      <c r="G105" s="145"/>
    </row>
    <row r="106" spans="1:7" ht="18.75" customHeight="1" x14ac:dyDescent="0.3">
      <c r="A106" s="136"/>
      <c r="B106" s="136"/>
      <c r="C106" s="136"/>
      <c r="D106" s="136"/>
      <c r="E106" s="136"/>
      <c r="F106" s="136"/>
      <c r="G106" s="145"/>
    </row>
    <row r="107" spans="1:7" ht="15.75" customHeight="1" x14ac:dyDescent="0.3">
      <c r="A107" s="136"/>
      <c r="B107" s="136"/>
      <c r="C107" s="136"/>
      <c r="D107" s="136"/>
      <c r="E107" s="136"/>
      <c r="F107" s="136"/>
      <c r="G107" s="145"/>
    </row>
    <row r="108" spans="1:7" ht="18.75" customHeight="1" x14ac:dyDescent="0.3">
      <c r="A108" s="279" t="s">
        <v>245</v>
      </c>
      <c r="B108" s="279">
        <f>SUM(B100:B107)</f>
        <v>0</v>
      </c>
      <c r="C108" s="279">
        <f>SUM(C100:C107)</f>
        <v>0</v>
      </c>
      <c r="D108" s="279">
        <f>SUM(D100:D107)</f>
        <v>0</v>
      </c>
      <c r="E108" s="279">
        <f>SUM(E100:E107)</f>
        <v>0</v>
      </c>
      <c r="F108" s="279">
        <f>SUM(F100:F107)</f>
        <v>0</v>
      </c>
      <c r="G108" s="280">
        <f>SUM(C108:F108)</f>
        <v>0</v>
      </c>
    </row>
    <row r="109" spans="1:7" ht="18.75" customHeight="1" x14ac:dyDescent="0.3">
      <c r="A109" s="279" t="s">
        <v>246</v>
      </c>
      <c r="B109" s="279">
        <f>SUM(B98+B108)</f>
        <v>35658</v>
      </c>
      <c r="C109" s="279">
        <f>SUM(C98+C108)</f>
        <v>4342000</v>
      </c>
      <c r="D109" s="279">
        <f>SUM(D98+D108)</f>
        <v>16500000</v>
      </c>
      <c r="E109" s="279">
        <f>SUM(E98+E108)</f>
        <v>25270000</v>
      </c>
      <c r="F109" s="279">
        <f>SUM(F98+F108)</f>
        <v>81390000</v>
      </c>
      <c r="G109" s="280">
        <f>SUM(C109:F109)</f>
        <v>127502000</v>
      </c>
    </row>
    <row r="110" spans="1:7" ht="18.75" customHeight="1" x14ac:dyDescent="0.3">
      <c r="A110" s="279" t="s">
        <v>247</v>
      </c>
      <c r="B110" s="279">
        <f>SUM(B99-B108)</f>
        <v>33342</v>
      </c>
      <c r="C110" s="279">
        <f>SUM(C99-C108)</f>
        <v>0</v>
      </c>
      <c r="D110" s="279">
        <f>SUM(D99-D108)</f>
        <v>0</v>
      </c>
      <c r="E110" s="279">
        <f>SUM(E99-E108)</f>
        <v>0</v>
      </c>
      <c r="F110" s="279">
        <f>SUM(F99-F108)</f>
        <v>0</v>
      </c>
      <c r="G110" s="280">
        <f>SUM(B110:F110)</f>
        <v>33342</v>
      </c>
    </row>
    <row r="111" spans="1:7" ht="18.75" customHeight="1" x14ac:dyDescent="0.3">
      <c r="A111" s="277" t="s">
        <v>248</v>
      </c>
      <c r="B111" s="136"/>
      <c r="C111" s="136"/>
      <c r="D111" s="136"/>
      <c r="E111" s="136"/>
      <c r="F111" s="136"/>
      <c r="G111" s="145"/>
    </row>
    <row r="119" spans="1:7" ht="18.75" customHeight="1" x14ac:dyDescent="0.3">
      <c r="A119" s="279" t="s">
        <v>249</v>
      </c>
      <c r="B119" s="279">
        <f>SUM(B111:B118)</f>
        <v>0</v>
      </c>
      <c r="C119" s="279">
        <f>SUM(C111:C118)</f>
        <v>0</v>
      </c>
      <c r="D119" s="279">
        <f>SUM(D111:D118)</f>
        <v>0</v>
      </c>
      <c r="E119" s="279">
        <f>SUM(E111:E118)</f>
        <v>0</v>
      </c>
      <c r="F119" s="279">
        <f>SUM(F111:F118)</f>
        <v>0</v>
      </c>
      <c r="G119" s="280">
        <f>SUM(C119:F119)</f>
        <v>0</v>
      </c>
    </row>
    <row r="120" spans="1:7" ht="18.75" customHeight="1" x14ac:dyDescent="0.3">
      <c r="A120" s="279" t="s">
        <v>250</v>
      </c>
      <c r="B120" s="279">
        <f>SUM(B109+B119)</f>
        <v>35658</v>
      </c>
      <c r="C120" s="279">
        <f>SUM(C109+C119)</f>
        <v>4342000</v>
      </c>
      <c r="D120" s="279">
        <f>SUM(D109+D119)</f>
        <v>16500000</v>
      </c>
      <c r="E120" s="279">
        <f>SUM(E109+E119)</f>
        <v>25270000</v>
      </c>
      <c r="F120" s="279">
        <f>SUM(F109+F119)</f>
        <v>81390000</v>
      </c>
      <c r="G120" s="280">
        <f>SUM(C120:F120)</f>
        <v>127502000</v>
      </c>
    </row>
    <row r="121" spans="1:7" ht="18.75" customHeight="1" x14ac:dyDescent="0.3">
      <c r="A121" s="279" t="s">
        <v>251</v>
      </c>
      <c r="B121" s="279">
        <f>SUM(B110-B119)</f>
        <v>33342</v>
      </c>
      <c r="C121" s="279">
        <f>SUM(C110-C119)</f>
        <v>0</v>
      </c>
      <c r="D121" s="279">
        <f>SUM(D110-D119)</f>
        <v>0</v>
      </c>
      <c r="E121" s="279">
        <f>SUM(E110-E119)</f>
        <v>0</v>
      </c>
      <c r="F121" s="279">
        <f>SUM(F110-F119)</f>
        <v>0</v>
      </c>
      <c r="G121" s="280">
        <f>SUM(B121:F121)</f>
        <v>33342</v>
      </c>
    </row>
    <row r="122" spans="1:7" ht="18.75" customHeight="1" x14ac:dyDescent="0.3">
      <c r="A122" s="277" t="s">
        <v>252</v>
      </c>
      <c r="B122" s="136"/>
      <c r="C122" s="136"/>
      <c r="D122" s="136"/>
      <c r="E122" s="136"/>
      <c r="F122" s="136"/>
      <c r="G122" s="145"/>
    </row>
    <row r="130" spans="1:7" ht="18.75" customHeight="1" x14ac:dyDescent="0.3">
      <c r="A130" s="279" t="s">
        <v>253</v>
      </c>
      <c r="B130" s="279">
        <f>SUM(B122:B129)</f>
        <v>0</v>
      </c>
      <c r="C130" s="279">
        <f>SUM(C122:C129)</f>
        <v>0</v>
      </c>
      <c r="D130" s="279">
        <f>SUM(D122:D129)</f>
        <v>0</v>
      </c>
      <c r="E130" s="279">
        <f>SUM(E122:E129)</f>
        <v>0</v>
      </c>
      <c r="F130" s="279">
        <f>SUM(F122:F129)</f>
        <v>0</v>
      </c>
      <c r="G130" s="280">
        <f>SUM(C130:F130)</f>
        <v>0</v>
      </c>
    </row>
    <row r="131" spans="1:7" ht="18.75" customHeight="1" x14ac:dyDescent="0.3">
      <c r="A131" s="279" t="s">
        <v>254</v>
      </c>
      <c r="B131" s="279">
        <f>SUM(B120+B130)</f>
        <v>35658</v>
      </c>
      <c r="C131" s="279">
        <f>SUM(C120+C130)</f>
        <v>4342000</v>
      </c>
      <c r="D131" s="279">
        <f>SUM(D120+D130)</f>
        <v>16500000</v>
      </c>
      <c r="E131" s="279">
        <f>SUM(E120+E130)</f>
        <v>25270000</v>
      </c>
      <c r="F131" s="279">
        <f>SUM(F120+F130)</f>
        <v>81390000</v>
      </c>
      <c r="G131" s="280">
        <f>SUM(C131:F131)</f>
        <v>127502000</v>
      </c>
    </row>
    <row r="132" spans="1:7" ht="18.75" customHeight="1" x14ac:dyDescent="0.3">
      <c r="A132" s="279" t="s">
        <v>255</v>
      </c>
      <c r="B132" s="279">
        <f>SUM(B121-B130)</f>
        <v>33342</v>
      </c>
      <c r="C132" s="279">
        <f>SUM(C121-C130)</f>
        <v>0</v>
      </c>
      <c r="D132" s="279">
        <f>SUM(D121-D130)</f>
        <v>0</v>
      </c>
      <c r="E132" s="279">
        <f>SUM(E121-E130)</f>
        <v>0</v>
      </c>
      <c r="F132" s="279">
        <f>SUM(F121-F130)</f>
        <v>0</v>
      </c>
      <c r="G132" s="280">
        <f>SUM(B132:F132)</f>
        <v>33342</v>
      </c>
    </row>
    <row r="133" spans="1:7" ht="18.75" customHeight="1" x14ac:dyDescent="0.3">
      <c r="A133" s="277" t="s">
        <v>256</v>
      </c>
      <c r="B133" s="136"/>
      <c r="C133" s="136"/>
      <c r="D133" s="136"/>
      <c r="E133" s="136"/>
      <c r="F133" s="136"/>
      <c r="G133" s="145"/>
    </row>
    <row r="134" spans="1:7" ht="18.75" customHeight="1" x14ac:dyDescent="0.3">
      <c r="A134" s="278"/>
      <c r="B134" s="136"/>
      <c r="C134" s="136"/>
      <c r="D134" s="136"/>
      <c r="E134" s="136"/>
      <c r="F134" s="136"/>
      <c r="G134" s="145"/>
    </row>
    <row r="135" spans="1:7" ht="18.75" customHeight="1" x14ac:dyDescent="0.3">
      <c r="A135" s="136"/>
      <c r="B135" s="136"/>
      <c r="C135" s="136"/>
      <c r="D135" s="136"/>
      <c r="E135" s="136"/>
      <c r="F135" s="136"/>
      <c r="G135" s="145"/>
    </row>
    <row r="136" spans="1:7" ht="18.75" customHeight="1" x14ac:dyDescent="0.3">
      <c r="A136" s="136"/>
      <c r="B136" s="136"/>
      <c r="C136" s="136"/>
      <c r="D136" s="136"/>
      <c r="E136" s="136"/>
      <c r="F136" s="136"/>
      <c r="G136" s="145"/>
    </row>
    <row r="137" spans="1:7" ht="18.75" customHeight="1" x14ac:dyDescent="0.3">
      <c r="A137" s="136"/>
      <c r="B137" s="136"/>
      <c r="C137" s="136"/>
      <c r="D137" s="136"/>
      <c r="E137" s="136"/>
      <c r="F137" s="136"/>
      <c r="G137" s="145"/>
    </row>
    <row r="138" spans="1:7" ht="18.75" customHeight="1" x14ac:dyDescent="0.3">
      <c r="A138" s="136"/>
      <c r="B138" s="136"/>
      <c r="C138" s="136"/>
      <c r="D138" s="136"/>
      <c r="E138" s="136"/>
      <c r="F138" s="136"/>
      <c r="G138" s="145"/>
    </row>
    <row r="139" spans="1:7" ht="18.75" customHeight="1" x14ac:dyDescent="0.3">
      <c r="A139" s="136"/>
      <c r="B139" s="136"/>
      <c r="C139" s="136"/>
      <c r="D139" s="136"/>
      <c r="E139" s="136"/>
      <c r="F139" s="136"/>
      <c r="G139" s="145"/>
    </row>
    <row r="140" spans="1:7" ht="15.75" customHeight="1" x14ac:dyDescent="0.3">
      <c r="A140" s="136"/>
      <c r="B140" s="136"/>
      <c r="C140" s="136"/>
      <c r="D140" s="136"/>
      <c r="E140" s="136"/>
      <c r="F140" s="136"/>
      <c r="G140" s="145"/>
    </row>
    <row r="141" spans="1:7" ht="18.75" customHeight="1" x14ac:dyDescent="0.3">
      <c r="A141" s="279" t="s">
        <v>257</v>
      </c>
      <c r="B141" s="279">
        <f>SUM(B133:B140)</f>
        <v>0</v>
      </c>
      <c r="C141" s="279">
        <f>SUM(C133:C140)</f>
        <v>0</v>
      </c>
      <c r="D141" s="279">
        <f>SUM(D133:D140)</f>
        <v>0</v>
      </c>
      <c r="E141" s="279">
        <f>SUM(E133:E140)</f>
        <v>0</v>
      </c>
      <c r="F141" s="279">
        <f>SUM(F133:F140)</f>
        <v>0</v>
      </c>
      <c r="G141" s="280">
        <f>SUM(C141:F141)</f>
        <v>0</v>
      </c>
    </row>
    <row r="142" spans="1:7" ht="18.75" customHeight="1" x14ac:dyDescent="0.3">
      <c r="A142" s="279" t="s">
        <v>258</v>
      </c>
      <c r="B142" s="279">
        <f>SUM(B131+B141)</f>
        <v>35658</v>
      </c>
      <c r="C142" s="279">
        <f>SUM(C131+C141)</f>
        <v>4342000</v>
      </c>
      <c r="D142" s="279">
        <f>SUM(D131+D141)</f>
        <v>16500000</v>
      </c>
      <c r="E142" s="279">
        <f>SUM(E131+E141)</f>
        <v>25270000</v>
      </c>
      <c r="F142" s="279">
        <f>SUM(F131+F141)</f>
        <v>81390000</v>
      </c>
      <c r="G142" s="280">
        <f>SUM(C142:F142)</f>
        <v>127502000</v>
      </c>
    </row>
    <row r="143" spans="1:7" ht="18.75" customHeight="1" x14ac:dyDescent="0.3">
      <c r="A143" s="279" t="s">
        <v>259</v>
      </c>
      <c r="B143" s="279">
        <f>SUM(B132-B141)</f>
        <v>33342</v>
      </c>
      <c r="C143" s="279">
        <f>SUM(C132-C141)</f>
        <v>0</v>
      </c>
      <c r="D143" s="279">
        <f>SUM(D132-D141)</f>
        <v>0</v>
      </c>
      <c r="E143" s="279">
        <f>SUM(E132-E141)</f>
        <v>0</v>
      </c>
      <c r="F143" s="279">
        <f>SUM(F132-F141)</f>
        <v>0</v>
      </c>
      <c r="G143" s="280">
        <f>SUM(B143:F143)</f>
        <v>33342</v>
      </c>
    </row>
  </sheetData>
  <conditionalFormatting sqref="A37:F44 A59:F66 A12:F13 A49:F55">
    <cfRule type="cellIs" dxfId="21" priority="2" stopIfTrue="1" operator="lessThan">
      <formula>0</formula>
    </cfRule>
  </conditionalFormatting>
  <conditionalFormatting sqref="E8 H8">
    <cfRule type="cellIs" dxfId="20" priority="4" stopIfTrue="1" operator="lessThan">
      <formula>0</formula>
    </cfRule>
  </conditionalFormatting>
  <conditionalFormatting sqref="E11">
    <cfRule type="cellIs" dxfId="19" priority="5" stopIfTrue="1" operator="lessThan">
      <formula>0</formula>
    </cfRule>
  </conditionalFormatting>
  <conditionalFormatting sqref="E35 H35">
    <cfRule type="cellIs" dxfId="18" priority="6" stopIfTrue="1" operator="lessThan">
      <formula>0</formula>
    </cfRule>
  </conditionalFormatting>
  <conditionalFormatting sqref="E48">
    <cfRule type="cellIs" dxfId="17" priority="7" stopIfTrue="1" operator="lessThan">
      <formula>0</formula>
    </cfRule>
  </conditionalFormatting>
  <conditionalFormatting sqref="G47:G52 H53:Z55">
    <cfRule type="cellIs" dxfId="16" priority="8" stopIfTrue="1" operator="lessThan">
      <formula>0</formula>
    </cfRule>
  </conditionalFormatting>
  <conditionalFormatting sqref="G58:G65 H59:H63 H64:Z66">
    <cfRule type="cellIs" dxfId="15" priority="9" stopIfTrue="1" operator="lessThan">
      <formula>0</formula>
    </cfRule>
  </conditionalFormatting>
  <conditionalFormatting sqref="G22:H29 E24">
    <cfRule type="cellIs" dxfId="14" priority="10" stopIfTrue="1" operator="lessThan">
      <formula>0</formula>
    </cfRule>
  </conditionalFormatting>
  <conditionalFormatting sqref="G33:H34 G35:G41 H37:H41 H42:Z44">
    <cfRule type="cellIs" dxfId="13" priority="11" stopIfTrue="1" operator="lessThan">
      <formula>0</formula>
    </cfRule>
  </conditionalFormatting>
  <conditionalFormatting sqref="H11:H13">
    <cfRule type="cellIs" dxfId="12" priority="12" stopIfTrue="1" operator="lessThan">
      <formula>0</formula>
    </cfRule>
  </conditionalFormatting>
  <conditionalFormatting sqref="H48:H52">
    <cfRule type="cellIs" dxfId="11" priority="13" stopIfTrue="1" operator="lessThan">
      <formula>0</formula>
    </cfRule>
  </conditionalFormatting>
  <conditionalFormatting sqref="H69:H74 H75:Z77">
    <cfRule type="cellIs" dxfId="10" priority="14" stopIfTrue="1" operator="lessThan">
      <formula>0</formula>
    </cfRule>
  </conditionalFormatting>
  <conditionalFormatting sqref="H80:H85 H86:Z88">
    <cfRule type="cellIs" dxfId="9" priority="15" stopIfTrue="1" operator="lessThan">
      <formula>0</formula>
    </cfRule>
  </conditionalFormatting>
  <conditionalFormatting sqref="H91:H96 H97:Z99">
    <cfRule type="cellIs" dxfId="8" priority="16" stopIfTrue="1" operator="lessThan">
      <formula>0</formula>
    </cfRule>
  </conditionalFormatting>
  <conditionalFormatting sqref="H102:H107 H108:Z110">
    <cfRule type="cellIs" dxfId="7" priority="17" stopIfTrue="1" operator="lessThan">
      <formula>0</formula>
    </cfRule>
  </conditionalFormatting>
  <conditionalFormatting sqref="H113:H118 H119:Z121 H130:Z132 H141:Z143">
    <cfRule type="cellIs" dxfId="6" priority="18" stopIfTrue="1" operator="lessThan">
      <formula>0</formula>
    </cfRule>
  </conditionalFormatting>
  <conditionalFormatting sqref="H124:H129">
    <cfRule type="cellIs" dxfId="5" priority="19" stopIfTrue="1" operator="lessThan">
      <formula>0</formula>
    </cfRule>
  </conditionalFormatting>
  <conditionalFormatting sqref="H135:H140">
    <cfRule type="cellIs" dxfId="4" priority="20" stopIfTrue="1" operator="lessThan">
      <formula>0</formula>
    </cfRule>
  </conditionalFormatting>
  <conditionalFormatting sqref="H30:Z32">
    <cfRule type="cellIs" dxfId="3" priority="21" stopIfTrue="1" operator="lessThan">
      <formula>0</formula>
    </cfRule>
  </conditionalFormatting>
  <conditionalFormatting sqref="A23">
    <cfRule type="cellIs" dxfId="2" priority="1" stopIfTrue="1" operator="lessThan">
      <formula>0</formula>
    </cfRule>
  </conditionalFormatting>
  <pageMargins left="0.7" right="0.7" top="0.75" bottom="0.75" header="0" footer="0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3:F59"/>
  <sheetViews>
    <sheetView workbookViewId="0">
      <selection activeCell="E13" sqref="E13"/>
    </sheetView>
  </sheetViews>
  <sheetFormatPr defaultColWidth="14.42578125" defaultRowHeight="15" customHeight="1" x14ac:dyDescent="0.3"/>
  <cols>
    <col min="1" max="1" width="8.85546875" style="137" customWidth="1"/>
    <col min="2" max="2" width="16.42578125" style="137" customWidth="1"/>
    <col min="3" max="3" width="25.28515625" style="137" customWidth="1"/>
    <col min="4" max="5" width="18.85546875" style="137" customWidth="1"/>
    <col min="6" max="6" width="85.140625" style="137" customWidth="1"/>
    <col min="7" max="7" width="9.5703125" style="137" customWidth="1"/>
    <col min="8" max="10" width="9.140625" style="137" customWidth="1"/>
    <col min="11" max="11" width="64" style="137" customWidth="1"/>
    <col min="12" max="26" width="8.7109375" style="137" customWidth="1"/>
    <col min="27" max="16384" width="14.42578125" style="137"/>
  </cols>
  <sheetData>
    <row r="3" spans="3:6" ht="18.75" customHeight="1" x14ac:dyDescent="0.3">
      <c r="C3" s="184" t="s">
        <v>979</v>
      </c>
      <c r="D3" s="136"/>
      <c r="E3" s="136"/>
    </row>
    <row r="4" spans="3:6" ht="18.75" customHeight="1" x14ac:dyDescent="0.3">
      <c r="D4" s="136"/>
      <c r="E4" s="136"/>
    </row>
    <row r="5" spans="3:6" ht="18.75" customHeight="1" x14ac:dyDescent="0.3">
      <c r="C5" s="184" t="s">
        <v>980</v>
      </c>
      <c r="D5" s="195">
        <v>300000</v>
      </c>
      <c r="E5" s="195"/>
    </row>
    <row r="6" spans="3:6" ht="18.75" customHeight="1" x14ac:dyDescent="0.3">
      <c r="C6" s="137" t="s">
        <v>981</v>
      </c>
      <c r="D6" s="136">
        <v>190390</v>
      </c>
      <c r="E6" s="136"/>
    </row>
    <row r="7" spans="3:6" ht="18.75" customHeight="1" x14ac:dyDescent="0.3">
      <c r="C7" s="137" t="s">
        <v>982</v>
      </c>
      <c r="D7" s="136">
        <v>104913.93</v>
      </c>
      <c r="E7" s="136"/>
    </row>
    <row r="8" spans="3:6" ht="18.75" customHeight="1" x14ac:dyDescent="0.3">
      <c r="C8" s="137" t="s">
        <v>86</v>
      </c>
      <c r="D8" s="251">
        <f>D5-D6-D7</f>
        <v>4696.070000000007</v>
      </c>
      <c r="E8" s="252"/>
    </row>
    <row r="9" spans="3:6" ht="18.75" customHeight="1" x14ac:dyDescent="0.3">
      <c r="D9" s="136"/>
      <c r="E9" s="136"/>
    </row>
    <row r="10" spans="3:6" ht="18.75" customHeight="1" x14ac:dyDescent="0.3">
      <c r="D10" s="136"/>
      <c r="E10" s="136"/>
    </row>
    <row r="11" spans="3:6" ht="18.75" customHeight="1" x14ac:dyDescent="0.3">
      <c r="C11" s="253" t="s">
        <v>983</v>
      </c>
      <c r="D11" s="136"/>
      <c r="E11" s="136"/>
    </row>
    <row r="12" spans="3:6" ht="19.5" customHeight="1" x14ac:dyDescent="0.3">
      <c r="C12" s="254" t="s">
        <v>984</v>
      </c>
      <c r="D12" s="136">
        <v>190390</v>
      </c>
      <c r="E12" s="136"/>
    </row>
    <row r="13" spans="3:6" ht="18.75" customHeight="1" x14ac:dyDescent="0.3">
      <c r="C13" s="255" t="s">
        <v>33</v>
      </c>
      <c r="D13" s="195">
        <f>SUM(D12)</f>
        <v>190390</v>
      </c>
      <c r="E13" s="195"/>
    </row>
    <row r="14" spans="3:6" ht="18.75" customHeight="1" x14ac:dyDescent="0.3">
      <c r="C14" s="254" t="s">
        <v>985</v>
      </c>
      <c r="D14" s="136">
        <v>6420</v>
      </c>
      <c r="E14" s="136"/>
      <c r="F14" s="137" t="s">
        <v>986</v>
      </c>
    </row>
    <row r="15" spans="3:6" ht="18.75" customHeight="1" x14ac:dyDescent="0.3">
      <c r="C15" s="254" t="s">
        <v>987</v>
      </c>
      <c r="D15" s="136">
        <v>12840</v>
      </c>
      <c r="E15" s="136"/>
      <c r="F15" s="137" t="s">
        <v>988</v>
      </c>
    </row>
    <row r="16" spans="3:6" ht="18.75" customHeight="1" x14ac:dyDescent="0.3">
      <c r="C16" s="254" t="s">
        <v>989</v>
      </c>
      <c r="D16" s="136">
        <v>48000</v>
      </c>
      <c r="E16" s="136"/>
      <c r="F16" s="137" t="s">
        <v>990</v>
      </c>
    </row>
    <row r="17" spans="3:6" ht="18.75" customHeight="1" x14ac:dyDescent="0.3">
      <c r="C17" s="254" t="s">
        <v>991</v>
      </c>
      <c r="D17" s="136">
        <v>20000</v>
      </c>
      <c r="E17" s="136"/>
      <c r="F17" s="137" t="s">
        <v>992</v>
      </c>
    </row>
    <row r="18" spans="3:6" ht="18.75" customHeight="1" x14ac:dyDescent="0.3">
      <c r="C18" s="254" t="s">
        <v>993</v>
      </c>
      <c r="D18" s="136">
        <v>17653.93</v>
      </c>
      <c r="E18" s="136"/>
      <c r="F18" s="137" t="s">
        <v>994</v>
      </c>
    </row>
    <row r="19" spans="3:6" ht="18.75" customHeight="1" x14ac:dyDescent="0.3">
      <c r="C19" s="255" t="s">
        <v>33</v>
      </c>
      <c r="D19" s="195">
        <f>SUM(D14:D18)</f>
        <v>104913.93</v>
      </c>
      <c r="E19" s="195"/>
    </row>
    <row r="20" spans="3:6" ht="18.75" customHeight="1" x14ac:dyDescent="0.3">
      <c r="C20" s="255" t="s">
        <v>995</v>
      </c>
      <c r="D20" s="256">
        <f>D13+D19</f>
        <v>295303.93</v>
      </c>
      <c r="E20" s="195"/>
    </row>
    <row r="21" spans="3:6" ht="18.75" customHeight="1" x14ac:dyDescent="0.3">
      <c r="C21" s="258"/>
      <c r="D21" s="259"/>
      <c r="E21" s="259"/>
      <c r="F21" s="258"/>
    </row>
    <row r="22" spans="3:6" ht="18.75" customHeight="1" x14ac:dyDescent="0.3">
      <c r="D22" s="136"/>
      <c r="E22" s="136"/>
    </row>
    <row r="23" spans="3:6" ht="18.75" customHeight="1" x14ac:dyDescent="0.3">
      <c r="C23" s="248"/>
      <c r="D23" s="248"/>
      <c r="E23" s="248"/>
      <c r="F23" s="248"/>
    </row>
    <row r="24" spans="3:6" ht="18.75" customHeight="1" x14ac:dyDescent="0.3">
      <c r="C24" s="184" t="s">
        <v>996</v>
      </c>
    </row>
    <row r="25" spans="3:6" ht="18.75" customHeight="1" x14ac:dyDescent="0.3"/>
    <row r="26" spans="3:6" ht="18.75" customHeight="1" x14ac:dyDescent="0.3">
      <c r="C26" s="184" t="s">
        <v>980</v>
      </c>
      <c r="D26" s="195">
        <v>3610100</v>
      </c>
      <c r="E26" s="195"/>
      <c r="F26" s="137" t="s">
        <v>997</v>
      </c>
    </row>
    <row r="27" spans="3:6" ht="18.75" customHeight="1" x14ac:dyDescent="0.3">
      <c r="C27" s="184" t="s">
        <v>980</v>
      </c>
      <c r="D27" s="195">
        <v>5000</v>
      </c>
      <c r="E27" s="195"/>
      <c r="F27" s="137" t="s">
        <v>998</v>
      </c>
    </row>
    <row r="28" spans="3:6" ht="18.75" customHeight="1" x14ac:dyDescent="0.3">
      <c r="C28" s="184"/>
      <c r="D28" s="195"/>
      <c r="E28" s="195"/>
    </row>
    <row r="29" spans="3:6" ht="18.75" customHeight="1" x14ac:dyDescent="0.3">
      <c r="D29" s="136"/>
      <c r="E29" s="136"/>
    </row>
    <row r="30" spans="3:6" ht="18.75" customHeight="1" x14ac:dyDescent="0.3">
      <c r="C30" s="131" t="s">
        <v>86</v>
      </c>
      <c r="D30" s="251"/>
      <c r="E30" s="252"/>
    </row>
    <row r="33" spans="2:6" ht="18.75" customHeight="1" x14ac:dyDescent="0.3">
      <c r="B33" s="250"/>
      <c r="C33" s="184" t="s">
        <v>983</v>
      </c>
    </row>
    <row r="34" spans="2:6" ht="113.25" customHeight="1" x14ac:dyDescent="0.3">
      <c r="B34" s="250"/>
      <c r="C34" s="76" t="s">
        <v>999</v>
      </c>
      <c r="D34" s="37">
        <v>116100</v>
      </c>
      <c r="E34" s="37"/>
      <c r="F34" s="133" t="s">
        <v>1000</v>
      </c>
    </row>
    <row r="35" spans="2:6" ht="170.25" customHeight="1" x14ac:dyDescent="0.3">
      <c r="B35" s="250"/>
      <c r="C35" s="76" t="s">
        <v>898</v>
      </c>
      <c r="D35" s="37">
        <v>1073570</v>
      </c>
      <c r="E35" s="37"/>
      <c r="F35" s="133" t="s">
        <v>1014</v>
      </c>
    </row>
    <row r="36" spans="2:6" ht="115.5" customHeight="1" x14ac:dyDescent="0.3">
      <c r="B36" s="250"/>
      <c r="C36" s="76" t="s">
        <v>904</v>
      </c>
      <c r="D36" s="37">
        <v>877457.38800000004</v>
      </c>
      <c r="E36" s="37"/>
      <c r="F36" s="34" t="s">
        <v>1015</v>
      </c>
    </row>
    <row r="37" spans="2:6" ht="18.75" customHeight="1" x14ac:dyDescent="0.3">
      <c r="B37" s="250"/>
    </row>
    <row r="38" spans="2:6" ht="18.75" customHeight="1" x14ac:dyDescent="0.3">
      <c r="B38" s="250"/>
      <c r="C38" s="255" t="s">
        <v>33</v>
      </c>
      <c r="D38" s="256">
        <f>SUM(D34:D37)</f>
        <v>2067127.388</v>
      </c>
      <c r="E38" s="195"/>
    </row>
    <row r="39" spans="2:6" ht="18.75" customHeight="1" x14ac:dyDescent="0.3">
      <c r="B39" s="250"/>
    </row>
    <row r="40" spans="2:6" ht="18.75" customHeight="1" x14ac:dyDescent="0.3">
      <c r="B40" s="250"/>
      <c r="D40" s="136"/>
      <c r="E40" s="136"/>
    </row>
    <row r="41" spans="2:6" ht="18.75" customHeight="1" x14ac:dyDescent="0.3">
      <c r="B41" s="250"/>
    </row>
    <row r="42" spans="2:6" ht="18.75" customHeight="1" x14ac:dyDescent="0.3">
      <c r="B42" s="257"/>
      <c r="C42" s="258"/>
      <c r="D42" s="258"/>
      <c r="E42" s="258"/>
      <c r="F42" s="258"/>
    </row>
    <row r="43" spans="2:6" ht="18.75" customHeight="1" x14ac:dyDescent="0.3">
      <c r="D43" s="136"/>
      <c r="E43" s="136"/>
    </row>
    <row r="44" spans="2:6" ht="18.75" customHeight="1" x14ac:dyDescent="0.3">
      <c r="B44" s="247"/>
      <c r="C44" s="248"/>
      <c r="D44" s="249"/>
      <c r="E44" s="249"/>
      <c r="F44" s="248"/>
    </row>
    <row r="45" spans="2:6" ht="18.75" customHeight="1" x14ac:dyDescent="0.3">
      <c r="B45" s="250"/>
      <c r="C45" s="184" t="s">
        <v>1001</v>
      </c>
      <c r="D45" s="136"/>
      <c r="E45" s="136"/>
    </row>
    <row r="46" spans="2:6" ht="18.75" customHeight="1" x14ac:dyDescent="0.3">
      <c r="B46" s="250"/>
      <c r="D46" s="136"/>
      <c r="E46" s="136"/>
    </row>
    <row r="47" spans="2:6" ht="18.75" customHeight="1" x14ac:dyDescent="0.3">
      <c r="B47" s="260" t="s">
        <v>899</v>
      </c>
      <c r="C47" s="261"/>
      <c r="D47" s="262" t="s">
        <v>1002</v>
      </c>
      <c r="E47" s="263" t="s">
        <v>86</v>
      </c>
    </row>
    <row r="48" spans="2:6" ht="18.75" customHeight="1" x14ac:dyDescent="0.3">
      <c r="B48" s="260">
        <v>468500</v>
      </c>
      <c r="C48" s="264" t="s">
        <v>1003</v>
      </c>
      <c r="D48" s="265">
        <v>286400</v>
      </c>
      <c r="E48" s="195">
        <f>D48-D55</f>
        <v>85310.6</v>
      </c>
    </row>
    <row r="49" spans="2:6" ht="18.75" customHeight="1" x14ac:dyDescent="0.3">
      <c r="B49" s="250"/>
      <c r="C49" s="266" t="s">
        <v>1004</v>
      </c>
      <c r="D49" s="267">
        <v>3000</v>
      </c>
      <c r="E49" s="195">
        <f>D49-D59</f>
        <v>620</v>
      </c>
    </row>
    <row r="50" spans="2:6" ht="18.75" customHeight="1" x14ac:dyDescent="0.3">
      <c r="B50" s="250"/>
      <c r="D50" s="268">
        <f>SUM(D48:D49)</f>
        <v>289400</v>
      </c>
      <c r="E50" s="269"/>
    </row>
    <row r="51" spans="2:6" ht="18.75" customHeight="1" x14ac:dyDescent="0.3">
      <c r="B51" s="250"/>
      <c r="D51" s="136"/>
      <c r="E51" s="136"/>
    </row>
    <row r="52" spans="2:6" ht="18.75" customHeight="1" x14ac:dyDescent="0.3">
      <c r="B52" s="250"/>
      <c r="C52" s="270" t="str">
        <f>+C48</f>
        <v>หมวด 900</v>
      </c>
      <c r="D52" s="37">
        <v>21900</v>
      </c>
      <c r="E52" s="76" t="s">
        <v>900</v>
      </c>
      <c r="F52" s="133" t="s">
        <v>1005</v>
      </c>
    </row>
    <row r="53" spans="2:6" ht="18.75" customHeight="1" x14ac:dyDescent="0.3">
      <c r="B53" s="250"/>
      <c r="C53" s="41"/>
      <c r="D53" s="37">
        <v>78309.399999999994</v>
      </c>
      <c r="E53" s="76" t="s">
        <v>901</v>
      </c>
      <c r="F53" s="133" t="s">
        <v>1006</v>
      </c>
    </row>
    <row r="54" spans="2:6" ht="18.75" customHeight="1" x14ac:dyDescent="0.3">
      <c r="B54" s="250"/>
      <c r="C54" s="41"/>
      <c r="D54" s="37">
        <v>100880</v>
      </c>
      <c r="E54" s="76" t="s">
        <v>902</v>
      </c>
      <c r="F54" s="133" t="s">
        <v>1007</v>
      </c>
    </row>
    <row r="55" spans="2:6" ht="18.75" customHeight="1" x14ac:dyDescent="0.3">
      <c r="B55" s="250"/>
      <c r="D55" s="271">
        <f>SUM(D52:D54)</f>
        <v>201089.4</v>
      </c>
      <c r="E55" s="136"/>
    </row>
    <row r="56" spans="2:6" ht="18.75" customHeight="1" x14ac:dyDescent="0.3">
      <c r="B56" s="250"/>
      <c r="D56" s="136"/>
      <c r="E56" s="136"/>
    </row>
    <row r="57" spans="2:6" ht="18.75" customHeight="1" x14ac:dyDescent="0.3">
      <c r="B57" s="250"/>
      <c r="D57" s="136"/>
      <c r="E57" s="136"/>
    </row>
    <row r="58" spans="2:6" ht="18.75" customHeight="1" x14ac:dyDescent="0.3">
      <c r="B58" s="250"/>
      <c r="C58" s="266" t="str">
        <f>+C49</f>
        <v>หมวด 400</v>
      </c>
      <c r="D58" s="136">
        <v>2380</v>
      </c>
      <c r="E58" s="272" t="s">
        <v>308</v>
      </c>
      <c r="F58" s="137" t="s">
        <v>307</v>
      </c>
    </row>
    <row r="59" spans="2:6" ht="18.75" customHeight="1" x14ac:dyDescent="0.3">
      <c r="B59" s="250"/>
      <c r="D59" s="273">
        <f>SUM(D58)</f>
        <v>2380</v>
      </c>
      <c r="E59" s="136"/>
    </row>
  </sheetData>
  <conditionalFormatting sqref="C47">
    <cfRule type="cellIs" dxfId="1" priority="1" stopIfTrue="1" operator="lessThan">
      <formula>0</formula>
    </cfRule>
  </conditionalFormatting>
  <conditionalFormatting sqref="E52:E54">
    <cfRule type="cellIs" dxfId="0" priority="2" stopIfTrue="1" operator="lessThan">
      <formula>0</formula>
    </cfRule>
  </conditionalFormatting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00"/>
  </sheetPr>
  <dimension ref="A1:Z140"/>
  <sheetViews>
    <sheetView view="pageBreakPreview" zoomScaleNormal="100" zoomScaleSheetLayoutView="100" workbookViewId="0">
      <pane xSplit="9" ySplit="4" topLeftCell="J29" activePane="bottomRight" state="frozen"/>
      <selection pane="topRight" activeCell="J1" sqref="J1"/>
      <selection pane="bottomLeft" activeCell="A5" sqref="A5"/>
      <selection pane="bottomRight" activeCell="C48" sqref="C48"/>
    </sheetView>
  </sheetViews>
  <sheetFormatPr defaultColWidth="14.42578125" defaultRowHeight="15" customHeight="1" x14ac:dyDescent="0.3"/>
  <cols>
    <col min="1" max="1" width="66.7109375" style="137" customWidth="1"/>
    <col min="2" max="2" width="17" style="137" customWidth="1"/>
    <col min="3" max="3" width="19.5703125" style="137" customWidth="1"/>
    <col min="4" max="10" width="17" style="137" customWidth="1"/>
    <col min="11" max="11" width="3.7109375" style="137" customWidth="1"/>
    <col min="12" max="12" width="15" style="137" customWidth="1"/>
    <col min="13" max="13" width="13.85546875" style="137" customWidth="1"/>
    <col min="14" max="26" width="9.140625" style="137" customWidth="1"/>
    <col min="27" max="16384" width="14.42578125" style="137"/>
  </cols>
  <sheetData>
    <row r="1" spans="1:26" ht="21" customHeight="1" x14ac:dyDescent="0.3">
      <c r="A1" s="1209" t="s">
        <v>1265</v>
      </c>
      <c r="B1" s="1209"/>
      <c r="C1" s="1209"/>
      <c r="D1" s="1209"/>
      <c r="E1" s="1209"/>
      <c r="F1" s="1209"/>
      <c r="G1" s="1209"/>
      <c r="H1" s="1209"/>
      <c r="I1" s="1209"/>
      <c r="J1" s="1209"/>
      <c r="K1" s="41"/>
      <c r="L1" s="37"/>
      <c r="M1" s="37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ht="21" customHeight="1" x14ac:dyDescent="0.3">
      <c r="A2" s="958"/>
      <c r="B2" s="958"/>
      <c r="C2" s="958"/>
      <c r="D2" s="958"/>
      <c r="E2" s="543"/>
      <c r="F2" s="958"/>
      <c r="G2" s="958"/>
      <c r="H2" s="544"/>
      <c r="I2" s="41"/>
      <c r="J2" s="101"/>
      <c r="K2" s="41"/>
      <c r="L2" s="37"/>
      <c r="M2" s="37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 ht="21" customHeight="1" x14ac:dyDescent="0.3">
      <c r="A3" s="383" t="s">
        <v>77</v>
      </c>
      <c r="B3" s="384" t="s">
        <v>78</v>
      </c>
      <c r="C3" s="384" t="s">
        <v>79</v>
      </c>
      <c r="D3" s="1210" t="s">
        <v>80</v>
      </c>
      <c r="E3" s="1211"/>
      <c r="F3" s="1212"/>
      <c r="G3" s="1210" t="s">
        <v>81</v>
      </c>
      <c r="H3" s="1211"/>
      <c r="I3" s="1212"/>
      <c r="J3" s="545" t="s">
        <v>10</v>
      </c>
      <c r="K3" s="41"/>
      <c r="L3" s="37"/>
      <c r="M3" s="37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ht="21" customHeight="1" x14ac:dyDescent="0.3">
      <c r="A4" s="386"/>
      <c r="B4" s="387" t="s">
        <v>82</v>
      </c>
      <c r="C4" s="387" t="s">
        <v>82</v>
      </c>
      <c r="D4" s="387" t="s">
        <v>83</v>
      </c>
      <c r="E4" s="546" t="s">
        <v>10</v>
      </c>
      <c r="F4" s="387" t="s">
        <v>83</v>
      </c>
      <c r="G4" s="387" t="s">
        <v>83</v>
      </c>
      <c r="H4" s="546" t="s">
        <v>84</v>
      </c>
      <c r="I4" s="387" t="s">
        <v>83</v>
      </c>
      <c r="J4" s="546" t="s">
        <v>85</v>
      </c>
      <c r="K4" s="41"/>
      <c r="L4" s="37"/>
      <c r="M4" s="37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</row>
    <row r="5" spans="1:26" ht="21" customHeight="1" x14ac:dyDescent="0.3">
      <c r="A5" s="389"/>
      <c r="B5" s="390" t="s">
        <v>7</v>
      </c>
      <c r="C5" s="390" t="s">
        <v>8</v>
      </c>
      <c r="D5" s="390"/>
      <c r="E5" s="547" t="s">
        <v>1833</v>
      </c>
      <c r="F5" s="390" t="s">
        <v>86</v>
      </c>
      <c r="G5" s="390"/>
      <c r="H5" s="547" t="str">
        <f>E5</f>
        <v>ณ 31 ม.ค. 68</v>
      </c>
      <c r="I5" s="390" t="s">
        <v>86</v>
      </c>
      <c r="J5" s="547" t="str">
        <f>E5</f>
        <v>ณ 31 ม.ค. 68</v>
      </c>
      <c r="K5" s="41"/>
      <c r="L5" s="37"/>
      <c r="M5" s="37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1:26" ht="21" customHeight="1" x14ac:dyDescent="0.3">
      <c r="A6" s="392" t="s">
        <v>87</v>
      </c>
      <c r="B6" s="174" t="s">
        <v>17</v>
      </c>
      <c r="C6" s="174" t="s">
        <v>88</v>
      </c>
      <c r="D6" s="174" t="s">
        <v>19</v>
      </c>
      <c r="E6" s="548" t="s">
        <v>20</v>
      </c>
      <c r="F6" s="174" t="s">
        <v>89</v>
      </c>
      <c r="G6" s="174" t="s">
        <v>65</v>
      </c>
      <c r="H6" s="548" t="s">
        <v>90</v>
      </c>
      <c r="I6" s="174" t="s">
        <v>91</v>
      </c>
      <c r="J6" s="548" t="s">
        <v>92</v>
      </c>
      <c r="K6" s="395"/>
      <c r="L6" s="37"/>
      <c r="M6" s="37"/>
      <c r="N6" s="395"/>
      <c r="O6" s="395"/>
      <c r="P6" s="395"/>
      <c r="Q6" s="395"/>
      <c r="R6" s="395"/>
      <c r="S6" s="395"/>
      <c r="T6" s="395"/>
      <c r="U6" s="395"/>
      <c r="V6" s="395"/>
      <c r="W6" s="395"/>
      <c r="X6" s="395"/>
      <c r="Y6" s="395"/>
      <c r="Z6" s="395"/>
    </row>
    <row r="7" spans="1:26" ht="21" customHeight="1" x14ac:dyDescent="0.3">
      <c r="A7" s="51" t="s">
        <v>93</v>
      </c>
      <c r="B7" s="398">
        <f t="shared" ref="B7:I7" si="0">SUM(B8)</f>
        <v>482000700</v>
      </c>
      <c r="C7" s="398">
        <f>SUM(C8)</f>
        <v>372642700</v>
      </c>
      <c r="D7" s="398">
        <f>SUM(D8)</f>
        <v>355770220</v>
      </c>
      <c r="E7" s="549">
        <f t="shared" si="0"/>
        <v>190683429.47999999</v>
      </c>
      <c r="F7" s="398">
        <f t="shared" si="0"/>
        <v>165086790.52000001</v>
      </c>
      <c r="G7" s="398">
        <f t="shared" si="0"/>
        <v>16872480</v>
      </c>
      <c r="H7" s="549">
        <f t="shared" ref="H7" si="1">SUM(H8)</f>
        <v>15799861.880000001</v>
      </c>
      <c r="I7" s="398">
        <f t="shared" si="0"/>
        <v>1072618.1199999996</v>
      </c>
      <c r="J7" s="549">
        <f>SUM(J8)</f>
        <v>206442644.42000002</v>
      </c>
      <c r="K7" s="56"/>
      <c r="L7" s="55"/>
      <c r="M7" s="55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</row>
    <row r="8" spans="1:26" ht="21" customHeight="1" x14ac:dyDescent="0.3">
      <c r="A8" s="51" t="s">
        <v>94</v>
      </c>
      <c r="B8" s="398">
        <f t="shared" ref="B8:I8" si="2">SUM(B9+B33)</f>
        <v>482000700</v>
      </c>
      <c r="C8" s="398">
        <f>SUM(C9+C33)</f>
        <v>372642700</v>
      </c>
      <c r="D8" s="398">
        <f>SUM(D9+D33)</f>
        <v>355770220</v>
      </c>
      <c r="E8" s="549">
        <f t="shared" si="2"/>
        <v>190683429.47999999</v>
      </c>
      <c r="F8" s="398">
        <f t="shared" si="2"/>
        <v>165086790.52000001</v>
      </c>
      <c r="G8" s="398">
        <f t="shared" si="2"/>
        <v>16872480</v>
      </c>
      <c r="H8" s="549">
        <f>SUM(H9+H33)</f>
        <v>15799861.880000001</v>
      </c>
      <c r="I8" s="398">
        <f t="shared" si="2"/>
        <v>1072618.1199999996</v>
      </c>
      <c r="J8" s="549">
        <f>SUM(J9+J33)</f>
        <v>206442644.42000002</v>
      </c>
      <c r="K8" s="56"/>
      <c r="L8" s="55"/>
      <c r="M8" s="55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</row>
    <row r="9" spans="1:26" ht="21" customHeight="1" x14ac:dyDescent="0.3">
      <c r="A9" s="52" t="s">
        <v>41</v>
      </c>
      <c r="B9" s="398">
        <f t="shared" ref="B9:I9" si="3">SUM(B10+B24)</f>
        <v>163832100</v>
      </c>
      <c r="C9" s="398">
        <f t="shared" si="3"/>
        <v>81234300</v>
      </c>
      <c r="D9" s="398">
        <f t="shared" si="3"/>
        <v>67761720</v>
      </c>
      <c r="E9" s="549">
        <f t="shared" si="3"/>
        <v>48970213.629999995</v>
      </c>
      <c r="F9" s="398">
        <f t="shared" si="3"/>
        <v>18791506.369999994</v>
      </c>
      <c r="G9" s="398">
        <f t="shared" si="3"/>
        <v>13472580</v>
      </c>
      <c r="H9" s="549">
        <f>SUM(H10+H24)</f>
        <v>12488712.370000001</v>
      </c>
      <c r="I9" s="398">
        <f t="shared" si="3"/>
        <v>983867.62999999966</v>
      </c>
      <c r="J9" s="549">
        <f>SUM(J10+J24)</f>
        <v>61427184.060000002</v>
      </c>
      <c r="K9" s="56"/>
      <c r="L9" s="55"/>
      <c r="M9" s="5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</row>
    <row r="10" spans="1:26" ht="21" customHeight="1" x14ac:dyDescent="0.3">
      <c r="A10" s="52" t="s">
        <v>95</v>
      </c>
      <c r="B10" s="398">
        <v>155419800</v>
      </c>
      <c r="C10" s="398">
        <f t="shared" ref="C10" si="4">SUM(C11+C22+C23)</f>
        <v>76487000</v>
      </c>
      <c r="D10" s="398">
        <f t="shared" ref="D10:E10" si="5">SUM(D11+D22+D23)</f>
        <v>67613920</v>
      </c>
      <c r="E10" s="549">
        <f t="shared" si="5"/>
        <v>48868527.969999999</v>
      </c>
      <c r="F10" s="398">
        <f t="shared" ref="F10:I10" si="6">SUM(F11+F22+F23)</f>
        <v>18745392.029999994</v>
      </c>
      <c r="G10" s="398">
        <f t="shared" si="6"/>
        <v>8873080</v>
      </c>
      <c r="H10" s="549">
        <f t="shared" ref="H10" si="7">SUM(H11+H22+H23)</f>
        <v>8077063.9600000009</v>
      </c>
      <c r="I10" s="398">
        <f t="shared" si="6"/>
        <v>796016.03999999957</v>
      </c>
      <c r="J10" s="549">
        <f>SUM(J11+J22+J23)</f>
        <v>56913849.990000002</v>
      </c>
      <c r="K10" s="41"/>
      <c r="L10" s="37"/>
      <c r="M10" s="37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1:26" ht="21" customHeight="1" x14ac:dyDescent="0.3">
      <c r="A11" s="52" t="s">
        <v>96</v>
      </c>
      <c r="B11" s="398">
        <v>140316500</v>
      </c>
      <c r="C11" s="398">
        <f t="shared" ref="C11" si="8">SUM(C12+C21)</f>
        <v>68935600</v>
      </c>
      <c r="D11" s="398">
        <f t="shared" ref="D11:E11" si="9">SUM(D12+D21)</f>
        <v>64200420</v>
      </c>
      <c r="E11" s="549">
        <f t="shared" si="9"/>
        <v>46636507.329999998</v>
      </c>
      <c r="F11" s="398">
        <f t="shared" ref="F11:I11" si="10">SUM(F12+F21)</f>
        <v>17563912.669999994</v>
      </c>
      <c r="G11" s="398">
        <f t="shared" si="10"/>
        <v>4735180</v>
      </c>
      <c r="H11" s="549">
        <f t="shared" si="10"/>
        <v>4183236.6500000004</v>
      </c>
      <c r="I11" s="398">
        <f t="shared" si="10"/>
        <v>551943.34999999963</v>
      </c>
      <c r="J11" s="549">
        <f>SUM(J12+J21)</f>
        <v>50788002.039999999</v>
      </c>
      <c r="K11" s="41"/>
      <c r="L11" s="37"/>
      <c r="M11" s="37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1:26" ht="21" customHeight="1" x14ac:dyDescent="0.3">
      <c r="A12" s="403" t="s">
        <v>97</v>
      </c>
      <c r="B12" s="62">
        <f t="shared" ref="B12:D12" si="11">SUM(B13:B16)</f>
        <v>137355500</v>
      </c>
      <c r="C12" s="62">
        <f t="shared" si="11"/>
        <v>67484800</v>
      </c>
      <c r="D12" s="62">
        <f t="shared" si="11"/>
        <v>62749620</v>
      </c>
      <c r="E12" s="417">
        <f>SUM(E13:E16)</f>
        <v>45685067.329999998</v>
      </c>
      <c r="F12" s="62">
        <f t="shared" ref="F12:I12" si="12">SUM(F13:F16)</f>
        <v>17064552.669999994</v>
      </c>
      <c r="G12" s="62">
        <f t="shared" si="12"/>
        <v>4735180</v>
      </c>
      <c r="H12" s="417">
        <f t="shared" si="12"/>
        <v>4183236.6500000004</v>
      </c>
      <c r="I12" s="62">
        <f t="shared" si="12"/>
        <v>551943.34999999963</v>
      </c>
      <c r="J12" s="417">
        <f>SUM(J13:J16)</f>
        <v>49836562.039999999</v>
      </c>
      <c r="K12" s="56"/>
      <c r="L12" s="55"/>
      <c r="M12" s="55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</row>
    <row r="13" spans="1:26" ht="21" customHeight="1" x14ac:dyDescent="0.3">
      <c r="A13" s="123" t="s">
        <v>98</v>
      </c>
      <c r="B13" s="35">
        <v>119286300</v>
      </c>
      <c r="C13" s="35">
        <v>58450200</v>
      </c>
      <c r="D13" s="684">
        <v>57295620</v>
      </c>
      <c r="E13" s="418">
        <f>'ใบกัน 100'!E112</f>
        <v>41632144.230000004</v>
      </c>
      <c r="F13" s="35">
        <f t="shared" ref="F13:F15" si="13">SUM(D13-E13)</f>
        <v>15663475.769999996</v>
      </c>
      <c r="G13" s="35">
        <v>1154580</v>
      </c>
      <c r="H13" s="959">
        <f>4*192430</f>
        <v>769720</v>
      </c>
      <c r="I13" s="35">
        <f t="shared" ref="I13:I15" si="14">SUM(G13-H13)</f>
        <v>384860</v>
      </c>
      <c r="J13" s="418">
        <f>SUM(E13+H13)</f>
        <v>42401864.230000004</v>
      </c>
      <c r="K13" s="41"/>
      <c r="L13" s="37"/>
      <c r="M13" s="37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1:26" ht="21" customHeight="1" x14ac:dyDescent="0.3">
      <c r="A14" s="123" t="s">
        <v>99</v>
      </c>
      <c r="B14" s="35">
        <v>4314000</v>
      </c>
      <c r="C14" s="35">
        <v>2157000</v>
      </c>
      <c r="D14" s="684">
        <v>1977000</v>
      </c>
      <c r="E14" s="418">
        <f>'ใบกัน 100'!G112</f>
        <v>1523068.16</v>
      </c>
      <c r="F14" s="35">
        <f t="shared" si="13"/>
        <v>453931.84000000008</v>
      </c>
      <c r="G14" s="35">
        <v>180000</v>
      </c>
      <c r="H14" s="418">
        <f>30000+30000+30000+30000</f>
        <v>120000</v>
      </c>
      <c r="I14" s="35">
        <f t="shared" si="14"/>
        <v>60000</v>
      </c>
      <c r="J14" s="418">
        <f t="shared" ref="J14:J15" si="15">SUM(E14+H14)</f>
        <v>1643068.16</v>
      </c>
      <c r="K14" s="41"/>
      <c r="L14" s="37"/>
      <c r="M14" s="37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1:26" ht="21" customHeight="1" x14ac:dyDescent="0.3">
      <c r="A15" s="123" t="s">
        <v>100</v>
      </c>
      <c r="B15" s="35">
        <v>6441200</v>
      </c>
      <c r="C15" s="35">
        <v>3220600</v>
      </c>
      <c r="D15" s="35">
        <v>0</v>
      </c>
      <c r="E15" s="418">
        <v>0</v>
      </c>
      <c r="F15" s="35">
        <f t="shared" si="13"/>
        <v>0</v>
      </c>
      <c r="G15" s="35">
        <v>3220600</v>
      </c>
      <c r="H15" s="418">
        <f>3748.95+3169767.7</f>
        <v>3173516.6500000004</v>
      </c>
      <c r="I15" s="35">
        <f t="shared" si="14"/>
        <v>47083.349999999627</v>
      </c>
      <c r="J15" s="418">
        <f t="shared" si="15"/>
        <v>3173516.6500000004</v>
      </c>
      <c r="K15" s="41"/>
    </row>
    <row r="16" spans="1:26" ht="21" customHeight="1" x14ac:dyDescent="0.3">
      <c r="A16" s="403" t="s">
        <v>101</v>
      </c>
      <c r="B16" s="62">
        <f t="shared" ref="B16:I16" si="16">SUM(B17:B20)</f>
        <v>7314000</v>
      </c>
      <c r="C16" s="62">
        <f t="shared" si="16"/>
        <v>3657000</v>
      </c>
      <c r="D16" s="62">
        <f t="shared" si="16"/>
        <v>3477000</v>
      </c>
      <c r="E16" s="417">
        <f t="shared" si="16"/>
        <v>2529854.94</v>
      </c>
      <c r="F16" s="62">
        <f t="shared" si="16"/>
        <v>947145.06</v>
      </c>
      <c r="G16" s="62">
        <f t="shared" si="16"/>
        <v>180000</v>
      </c>
      <c r="H16" s="417">
        <f t="shared" ref="H16" si="17">SUM(H17:H20)</f>
        <v>120000</v>
      </c>
      <c r="I16" s="62">
        <f t="shared" si="16"/>
        <v>60000</v>
      </c>
      <c r="J16" s="417">
        <f t="shared" ref="J16" si="18">SUM(J17:J20)</f>
        <v>2618113</v>
      </c>
      <c r="K16" s="41"/>
    </row>
    <row r="17" spans="1:11" ht="21" customHeight="1" x14ac:dyDescent="0.3">
      <c r="A17" s="123" t="s">
        <v>102</v>
      </c>
      <c r="B17" s="35">
        <v>2772000</v>
      </c>
      <c r="C17" s="35">
        <v>1386000</v>
      </c>
      <c r="D17" s="35">
        <v>1386000</v>
      </c>
      <c r="E17" s="418">
        <f>'ใบกัน 100'!H112</f>
        <v>934519.03</v>
      </c>
      <c r="F17" s="35">
        <f t="shared" ref="F17:F20" si="19">SUM(D17-E17)</f>
        <v>451480.97</v>
      </c>
      <c r="G17" s="35">
        <v>0</v>
      </c>
      <c r="H17" s="418">
        <v>0</v>
      </c>
      <c r="I17" s="35">
        <f t="shared" ref="I17:I20" si="20">SUM(G17-H17)</f>
        <v>0</v>
      </c>
      <c r="J17" s="418">
        <f t="shared" ref="J17:J19" si="21">SUM(E17+H17)</f>
        <v>934519.03</v>
      </c>
      <c r="K17" s="41"/>
    </row>
    <row r="18" spans="1:11" ht="21" customHeight="1" x14ac:dyDescent="0.3">
      <c r="A18" s="123" t="s">
        <v>103</v>
      </c>
      <c r="B18" s="35">
        <v>4272000</v>
      </c>
      <c r="C18" s="35">
        <v>2136000</v>
      </c>
      <c r="D18" s="684">
        <v>1956000</v>
      </c>
      <c r="E18" s="418">
        <f>'ใบกัน 100'!I112</f>
        <v>1443593.97</v>
      </c>
      <c r="F18" s="35">
        <f t="shared" si="19"/>
        <v>512406.03</v>
      </c>
      <c r="G18" s="35">
        <v>180000</v>
      </c>
      <c r="H18" s="418">
        <f>30000+30000+30000+30000</f>
        <v>120000</v>
      </c>
      <c r="I18" s="35">
        <f t="shared" si="20"/>
        <v>60000</v>
      </c>
      <c r="J18" s="418">
        <f t="shared" si="21"/>
        <v>1563593.97</v>
      </c>
      <c r="K18" s="41"/>
    </row>
    <row r="19" spans="1:11" ht="21" customHeight="1" x14ac:dyDescent="0.3">
      <c r="A19" s="123" t="s">
        <v>104</v>
      </c>
      <c r="B19" s="35">
        <v>270000</v>
      </c>
      <c r="C19" s="35">
        <v>135000</v>
      </c>
      <c r="D19" s="35">
        <v>135000</v>
      </c>
      <c r="E19" s="418">
        <f>'ใบกัน 100'!J112</f>
        <v>120000</v>
      </c>
      <c r="F19" s="35">
        <f t="shared" si="19"/>
        <v>15000</v>
      </c>
      <c r="G19" s="35">
        <v>0</v>
      </c>
      <c r="H19" s="418">
        <v>0</v>
      </c>
      <c r="I19" s="35">
        <f t="shared" si="20"/>
        <v>0</v>
      </c>
      <c r="J19" s="418">
        <f t="shared" si="21"/>
        <v>120000</v>
      </c>
      <c r="K19" s="41"/>
    </row>
    <row r="20" spans="1:11" ht="21" customHeight="1" x14ac:dyDescent="0.3">
      <c r="A20" s="123" t="s">
        <v>105</v>
      </c>
      <c r="B20" s="35">
        <v>0</v>
      </c>
      <c r="C20" s="35">
        <v>0</v>
      </c>
      <c r="D20" s="35">
        <v>0</v>
      </c>
      <c r="E20" s="418">
        <f>'ใบกัน 100'!K112</f>
        <v>31741.94</v>
      </c>
      <c r="F20" s="35">
        <f t="shared" si="19"/>
        <v>-31741.94</v>
      </c>
      <c r="G20" s="62">
        <v>0</v>
      </c>
      <c r="H20" s="418">
        <v>0</v>
      </c>
      <c r="I20" s="35">
        <f t="shared" si="20"/>
        <v>0</v>
      </c>
      <c r="J20" s="418">
        <v>0</v>
      </c>
      <c r="K20" s="41"/>
    </row>
    <row r="21" spans="1:11" ht="21" customHeight="1" x14ac:dyDescent="0.3">
      <c r="A21" s="403" t="s">
        <v>106</v>
      </c>
      <c r="B21" s="62">
        <v>2961000</v>
      </c>
      <c r="C21" s="62">
        <v>1450800</v>
      </c>
      <c r="D21" s="62">
        <v>1450800</v>
      </c>
      <c r="E21" s="417">
        <f>'ใบกัน 100'!F112</f>
        <v>951440</v>
      </c>
      <c r="F21" s="62">
        <f t="shared" ref="F21:F23" si="22">SUM(D21-E21)</f>
        <v>499360</v>
      </c>
      <c r="G21" s="62">
        <v>0</v>
      </c>
      <c r="H21" s="417">
        <v>0</v>
      </c>
      <c r="I21" s="62">
        <f t="shared" ref="I21:I22" si="23">SUM(G21-H21)</f>
        <v>0</v>
      </c>
      <c r="J21" s="417">
        <f>SUM(E21+H21)</f>
        <v>951440</v>
      </c>
      <c r="K21" s="56"/>
    </row>
    <row r="22" spans="1:11" ht="21" customHeight="1" x14ac:dyDescent="0.3">
      <c r="A22" s="403" t="s">
        <v>107</v>
      </c>
      <c r="B22" s="62">
        <v>8275800</v>
      </c>
      <c r="C22" s="62">
        <v>4137900</v>
      </c>
      <c r="D22" s="62">
        <v>0</v>
      </c>
      <c r="E22" s="418">
        <v>0</v>
      </c>
      <c r="F22" s="62">
        <f t="shared" si="22"/>
        <v>0</v>
      </c>
      <c r="G22" s="387">
        <v>4137900</v>
      </c>
      <c r="H22" s="546">
        <v>3893827.31</v>
      </c>
      <c r="I22" s="62">
        <f t="shared" si="23"/>
        <v>244072.68999999994</v>
      </c>
      <c r="J22" s="417">
        <f>SUM(E22+H22)</f>
        <v>3893827.31</v>
      </c>
      <c r="K22" s="41" t="s">
        <v>75</v>
      </c>
    </row>
    <row r="23" spans="1:11" ht="21" customHeight="1" x14ac:dyDescent="0.3">
      <c r="A23" s="403" t="s">
        <v>108</v>
      </c>
      <c r="B23" s="62">
        <v>6827500</v>
      </c>
      <c r="C23" s="62">
        <v>3413500</v>
      </c>
      <c r="D23" s="62">
        <v>3413500</v>
      </c>
      <c r="E23" s="417">
        <f>'ใบกัน 260'!E100</f>
        <v>2232020.64</v>
      </c>
      <c r="F23" s="62">
        <f t="shared" si="22"/>
        <v>1181479.3599999999</v>
      </c>
      <c r="G23" s="387">
        <v>0</v>
      </c>
      <c r="H23" s="546">
        <v>0</v>
      </c>
      <c r="I23" s="62">
        <f>I21</f>
        <v>0</v>
      </c>
      <c r="J23" s="417">
        <f>SUM(E23+H23)</f>
        <v>2232020.64</v>
      </c>
      <c r="K23" s="56"/>
    </row>
    <row r="24" spans="1:11" ht="21" customHeight="1" x14ac:dyDescent="0.3">
      <c r="A24" s="149" t="s">
        <v>109</v>
      </c>
      <c r="B24" s="150">
        <f t="shared" ref="B24:I24" si="24">SUM(B25)</f>
        <v>8412300</v>
      </c>
      <c r="C24" s="150">
        <f t="shared" si="24"/>
        <v>4747300</v>
      </c>
      <c r="D24" s="150">
        <f t="shared" si="24"/>
        <v>147800</v>
      </c>
      <c r="E24" s="550">
        <f t="shared" si="24"/>
        <v>101685.66</v>
      </c>
      <c r="F24" s="150">
        <f t="shared" si="24"/>
        <v>46114.34</v>
      </c>
      <c r="G24" s="150">
        <f t="shared" si="24"/>
        <v>4599500</v>
      </c>
      <c r="H24" s="550">
        <f t="shared" ref="H24" si="25">SUM(H25)</f>
        <v>4411648.41</v>
      </c>
      <c r="I24" s="150">
        <f t="shared" si="24"/>
        <v>187851.59000000008</v>
      </c>
      <c r="J24" s="550">
        <f t="shared" ref="J24" si="26">SUM(J25)</f>
        <v>4513334.07</v>
      </c>
      <c r="K24" s="41"/>
    </row>
    <row r="25" spans="1:11" ht="21" customHeight="1" x14ac:dyDescent="0.3">
      <c r="A25" s="149" t="s">
        <v>110</v>
      </c>
      <c r="B25" s="150">
        <f t="shared" ref="B25:I25" si="27">SUM(B27:B32)</f>
        <v>8412300</v>
      </c>
      <c r="C25" s="150">
        <f t="shared" si="27"/>
        <v>4747300</v>
      </c>
      <c r="D25" s="150">
        <f t="shared" si="27"/>
        <v>147800</v>
      </c>
      <c r="E25" s="550">
        <f t="shared" si="27"/>
        <v>101685.66</v>
      </c>
      <c r="F25" s="150">
        <f t="shared" si="27"/>
        <v>46114.34</v>
      </c>
      <c r="G25" s="150">
        <f t="shared" si="27"/>
        <v>4599500</v>
      </c>
      <c r="H25" s="550">
        <f t="shared" si="27"/>
        <v>4411648.41</v>
      </c>
      <c r="I25" s="150">
        <f t="shared" si="27"/>
        <v>187851.59000000008</v>
      </c>
      <c r="J25" s="550">
        <f t="shared" ref="J25" si="28">SUM(J27:J32)</f>
        <v>4513334.07</v>
      </c>
      <c r="K25" s="41"/>
    </row>
    <row r="26" spans="1:11" ht="21" customHeight="1" x14ac:dyDescent="0.3">
      <c r="A26" s="403" t="s">
        <v>111</v>
      </c>
      <c r="B26" s="62"/>
      <c r="C26" s="62"/>
      <c r="D26" s="62"/>
      <c r="E26" s="417"/>
      <c r="F26" s="62"/>
      <c r="G26" s="62"/>
      <c r="H26" s="417"/>
      <c r="I26" s="62"/>
      <c r="J26" s="417"/>
      <c r="K26" s="41"/>
    </row>
    <row r="27" spans="1:11" ht="21" customHeight="1" x14ac:dyDescent="0.3">
      <c r="A27" s="123" t="s">
        <v>112</v>
      </c>
      <c r="B27" s="35">
        <v>7052900</v>
      </c>
      <c r="C27" s="35">
        <f>SUM(D27+G27)</f>
        <v>3526500</v>
      </c>
      <c r="D27" s="35">
        <v>0</v>
      </c>
      <c r="E27" s="418">
        <v>0</v>
      </c>
      <c r="F27" s="35">
        <f>SUM(D27-E27)</f>
        <v>0</v>
      </c>
      <c r="G27" s="146">
        <v>3526500</v>
      </c>
      <c r="H27" s="551">
        <v>3406335.36</v>
      </c>
      <c r="I27" s="35">
        <f>SUM(G27-H27)</f>
        <v>120164.64000000013</v>
      </c>
      <c r="J27" s="418">
        <f>SUM(E27+H27)</f>
        <v>3406335.36</v>
      </c>
      <c r="K27" s="41"/>
    </row>
    <row r="28" spans="1:11" ht="18.75" x14ac:dyDescent="0.3">
      <c r="A28" s="93" t="s">
        <v>113</v>
      </c>
      <c r="B28" s="35">
        <v>42300</v>
      </c>
      <c r="C28" s="35">
        <f>SUM(D28+G28)</f>
        <v>21000</v>
      </c>
      <c r="D28" s="35">
        <v>21000</v>
      </c>
      <c r="E28" s="418">
        <f>'ใบกัน 300-400(ภาครัฐ)'!E100</f>
        <v>21631.66</v>
      </c>
      <c r="F28" s="35">
        <f>SUM(D28-E28)</f>
        <v>-631.65999999999985</v>
      </c>
      <c r="G28" s="146">
        <v>0</v>
      </c>
      <c r="H28" s="551">
        <v>0</v>
      </c>
      <c r="I28" s="35">
        <f>SUM(G28-H28)</f>
        <v>0</v>
      </c>
      <c r="J28" s="418">
        <f>SUM(E28+H28)</f>
        <v>21631.66</v>
      </c>
      <c r="K28" s="41"/>
    </row>
    <row r="29" spans="1:11" ht="18.75" x14ac:dyDescent="0.3">
      <c r="A29" s="93" t="s">
        <v>114</v>
      </c>
      <c r="B29" s="35">
        <v>1073000</v>
      </c>
      <c r="C29" s="35">
        <f>SUM(D29+G29)</f>
        <v>1073000</v>
      </c>
      <c r="D29" s="35">
        <v>0</v>
      </c>
      <c r="E29" s="418">
        <v>0</v>
      </c>
      <c r="F29" s="35">
        <f>SUM(D29-E29)</f>
        <v>0</v>
      </c>
      <c r="G29" s="146">
        <v>1073000</v>
      </c>
      <c r="H29" s="551">
        <v>1005313.05</v>
      </c>
      <c r="I29" s="35">
        <f>SUM(G29-H29)</f>
        <v>67686.949999999953</v>
      </c>
      <c r="J29" s="418">
        <f>SUM(E29+H29)</f>
        <v>1005313.05</v>
      </c>
      <c r="K29" s="41"/>
    </row>
    <row r="30" spans="1:11" ht="21" customHeight="1" x14ac:dyDescent="0.3">
      <c r="A30" s="403" t="s">
        <v>115</v>
      </c>
      <c r="B30" s="35"/>
      <c r="C30" s="35"/>
      <c r="D30" s="35"/>
      <c r="E30" s="418"/>
      <c r="F30" s="35"/>
      <c r="G30" s="146"/>
      <c r="H30" s="551"/>
      <c r="I30" s="35"/>
      <c r="J30" s="418"/>
      <c r="K30" s="41"/>
    </row>
    <row r="31" spans="1:11" ht="21" customHeight="1" x14ac:dyDescent="0.3">
      <c r="A31" s="123" t="s">
        <v>116</v>
      </c>
      <c r="B31" s="35">
        <v>231900</v>
      </c>
      <c r="C31" s="35">
        <f>SUM(D31+G31)</f>
        <v>114600</v>
      </c>
      <c r="D31" s="35">
        <v>114600</v>
      </c>
      <c r="E31" s="418">
        <f>'ใบกัน 300-400(ภาครัฐ)'!G100</f>
        <v>74306</v>
      </c>
      <c r="F31" s="35">
        <f>SUM(D31-E31)</f>
        <v>40294</v>
      </c>
      <c r="G31" s="146">
        <v>0</v>
      </c>
      <c r="H31" s="551">
        <v>0</v>
      </c>
      <c r="I31" s="35">
        <f>SUM(G31-H31)</f>
        <v>0</v>
      </c>
      <c r="J31" s="418">
        <f>SUM(E31+H31)</f>
        <v>74306</v>
      </c>
      <c r="K31" s="41"/>
    </row>
    <row r="32" spans="1:11" ht="21" customHeight="1" x14ac:dyDescent="0.3">
      <c r="A32" s="389" t="s">
        <v>117</v>
      </c>
      <c r="B32" s="48">
        <v>12200</v>
      </c>
      <c r="C32" s="48">
        <f>SUM(D32+G32)</f>
        <v>12200</v>
      </c>
      <c r="D32" s="48">
        <v>12200</v>
      </c>
      <c r="E32" s="552">
        <f>SUM('ใบกัน 300-400(ภาครัฐ)'!H100)</f>
        <v>5748</v>
      </c>
      <c r="F32" s="48">
        <f>SUM(D32-E32)</f>
        <v>6452</v>
      </c>
      <c r="G32" s="147">
        <v>0</v>
      </c>
      <c r="H32" s="553">
        <v>0</v>
      </c>
      <c r="I32" s="48">
        <f>SUM(G32-H32)</f>
        <v>0</v>
      </c>
      <c r="J32" s="552">
        <f>SUM(E32+H32)</f>
        <v>5748</v>
      </c>
      <c r="K32" s="41"/>
    </row>
    <row r="33" spans="1:11" ht="21" customHeight="1" x14ac:dyDescent="0.3">
      <c r="A33" s="149" t="s">
        <v>118</v>
      </c>
      <c r="B33" s="150">
        <f t="shared" ref="B33:I33" si="29">SUM(B37+B98+B118)</f>
        <v>318168600</v>
      </c>
      <c r="C33" s="150">
        <f t="shared" si="29"/>
        <v>291408400</v>
      </c>
      <c r="D33" s="150">
        <f t="shared" si="29"/>
        <v>288008500</v>
      </c>
      <c r="E33" s="550">
        <f t="shared" si="29"/>
        <v>141713215.84999999</v>
      </c>
      <c r="F33" s="150">
        <f t="shared" si="29"/>
        <v>146295284.15000001</v>
      </c>
      <c r="G33" s="150">
        <f t="shared" si="29"/>
        <v>3399900</v>
      </c>
      <c r="H33" s="550">
        <f t="shared" ref="H33" si="30">SUM(H37+H99+H119)</f>
        <v>3311149.51</v>
      </c>
      <c r="I33" s="150">
        <f t="shared" si="29"/>
        <v>88750.489999999991</v>
      </c>
      <c r="J33" s="550">
        <f>SUM(J37+J98+J118)</f>
        <v>145015460.36000001</v>
      </c>
      <c r="K33" s="41"/>
    </row>
    <row r="34" spans="1:11" ht="21" customHeight="1" x14ac:dyDescent="0.3">
      <c r="A34" s="149" t="s">
        <v>119</v>
      </c>
      <c r="B34" s="150"/>
      <c r="C34" s="150"/>
      <c r="D34" s="150"/>
      <c r="E34" s="550"/>
      <c r="F34" s="150"/>
      <c r="G34" s="150"/>
      <c r="H34" s="550"/>
      <c r="I34" s="150"/>
      <c r="J34" s="550"/>
      <c r="K34" s="41"/>
    </row>
    <row r="35" spans="1:11" ht="21" customHeight="1" x14ac:dyDescent="0.3">
      <c r="A35" s="149" t="s">
        <v>120</v>
      </c>
      <c r="B35" s="150"/>
      <c r="C35" s="150"/>
      <c r="D35" s="150"/>
      <c r="E35" s="550"/>
      <c r="F35" s="150"/>
      <c r="G35" s="150"/>
      <c r="H35" s="550"/>
      <c r="I35" s="150"/>
      <c r="J35" s="550"/>
      <c r="K35" s="41"/>
    </row>
    <row r="36" spans="1:11" ht="21" customHeight="1" x14ac:dyDescent="0.3">
      <c r="A36" s="149" t="s">
        <v>121</v>
      </c>
      <c r="B36" s="150"/>
      <c r="C36" s="150"/>
      <c r="D36" s="150"/>
      <c r="E36" s="550"/>
      <c r="F36" s="150"/>
      <c r="G36" s="150"/>
      <c r="H36" s="550"/>
      <c r="I36" s="150"/>
      <c r="J36" s="550"/>
      <c r="K36" s="41"/>
    </row>
    <row r="37" spans="1:11" ht="21" customHeight="1" x14ac:dyDescent="0.3">
      <c r="A37" s="149" t="s">
        <v>122</v>
      </c>
      <c r="B37" s="150">
        <f t="shared" ref="B37:I37" si="31">SUM(B38+B86)</f>
        <v>43096000</v>
      </c>
      <c r="C37" s="150">
        <f t="shared" si="31"/>
        <v>32975500</v>
      </c>
      <c r="D37" s="150">
        <f t="shared" si="31"/>
        <v>29575600</v>
      </c>
      <c r="E37" s="550">
        <f>SUM(E38+E86)</f>
        <v>12028188.879999999</v>
      </c>
      <c r="F37" s="150">
        <f t="shared" si="31"/>
        <v>17547411.120000001</v>
      </c>
      <c r="G37" s="150">
        <f t="shared" si="31"/>
        <v>3399900</v>
      </c>
      <c r="H37" s="550">
        <f>SUM(H38+H86)</f>
        <v>3311149.51</v>
      </c>
      <c r="I37" s="150">
        <f t="shared" si="31"/>
        <v>88750.489999999991</v>
      </c>
      <c r="J37" s="550">
        <f>SUM(J38+J86)</f>
        <v>15330433.390000001</v>
      </c>
      <c r="K37" s="554"/>
    </row>
    <row r="38" spans="1:11" ht="21" customHeight="1" x14ac:dyDescent="0.3">
      <c r="A38" s="149" t="s">
        <v>123</v>
      </c>
      <c r="B38" s="150">
        <f t="shared" ref="B38:I38" si="32">SUM(B39+B46+B77)</f>
        <v>31380300</v>
      </c>
      <c r="C38" s="150">
        <f t="shared" si="32"/>
        <v>25067900</v>
      </c>
      <c r="D38" s="150">
        <f t="shared" si="32"/>
        <v>22111000</v>
      </c>
      <c r="E38" s="550">
        <f>SUM(E39+E46+E77)</f>
        <v>7301528.7599999998</v>
      </c>
      <c r="F38" s="150">
        <f t="shared" si="32"/>
        <v>14809471.24</v>
      </c>
      <c r="G38" s="150">
        <f t="shared" si="32"/>
        <v>2956900</v>
      </c>
      <c r="H38" s="550">
        <f>SUM(H39+H46+H77)</f>
        <v>2888150</v>
      </c>
      <c r="I38" s="150">
        <f t="shared" si="32"/>
        <v>68750</v>
      </c>
      <c r="J38" s="550">
        <f>SUM(J39+J46+J77)</f>
        <v>10180773.760000002</v>
      </c>
      <c r="K38" s="41"/>
    </row>
    <row r="39" spans="1:11" ht="21" customHeight="1" x14ac:dyDescent="0.3">
      <c r="A39" s="411" t="s">
        <v>124</v>
      </c>
      <c r="B39" s="62">
        <f t="shared" ref="B39:J39" si="33">SUM(B40:B45)</f>
        <v>5760000</v>
      </c>
      <c r="C39" s="62">
        <f t="shared" si="33"/>
        <v>2873800</v>
      </c>
      <c r="D39" s="62">
        <f t="shared" si="33"/>
        <v>1892600</v>
      </c>
      <c r="E39" s="417">
        <f>SUM(E40:E45)</f>
        <v>571545</v>
      </c>
      <c r="F39" s="62">
        <f t="shared" si="33"/>
        <v>1321055</v>
      </c>
      <c r="G39" s="62">
        <f t="shared" si="33"/>
        <v>981200</v>
      </c>
      <c r="H39" s="417">
        <f>SUM(H40:H45)</f>
        <v>981300</v>
      </c>
      <c r="I39" s="62">
        <f t="shared" si="33"/>
        <v>-100</v>
      </c>
      <c r="J39" s="417">
        <f t="shared" si="33"/>
        <v>1552845</v>
      </c>
      <c r="K39" s="56"/>
    </row>
    <row r="40" spans="1:11" ht="21" customHeight="1" x14ac:dyDescent="0.3">
      <c r="A40" s="123" t="s">
        <v>125</v>
      </c>
      <c r="B40" s="684">
        <v>330000</v>
      </c>
      <c r="C40" s="35">
        <f t="shared" ref="C40:C45" si="34">SUM(D40+G40)</f>
        <v>165000</v>
      </c>
      <c r="D40" s="35">
        <v>165000</v>
      </c>
      <c r="E40" s="418">
        <f>'ใบกัน 300'!E190</f>
        <v>155700</v>
      </c>
      <c r="F40" s="35">
        <f t="shared" ref="F40:F45" si="35">SUM(D40-E40)</f>
        <v>9300</v>
      </c>
      <c r="G40" s="146">
        <v>0</v>
      </c>
      <c r="H40" s="418">
        <v>0</v>
      </c>
      <c r="I40" s="35">
        <f t="shared" ref="I40:I45" si="36">SUM(G40-H40)</f>
        <v>0</v>
      </c>
      <c r="J40" s="418">
        <f>SUM(E40+H40)</f>
        <v>155700</v>
      </c>
      <c r="K40" s="41"/>
    </row>
    <row r="41" spans="1:11" ht="21" customHeight="1" x14ac:dyDescent="0.3">
      <c r="A41" s="123" t="s">
        <v>126</v>
      </c>
      <c r="B41" s="684">
        <v>530900</v>
      </c>
      <c r="C41" s="35">
        <f t="shared" si="34"/>
        <v>265200</v>
      </c>
      <c r="D41" s="35">
        <v>265200</v>
      </c>
      <c r="E41" s="418">
        <f>'ใบกัน 300'!F190</f>
        <v>20215</v>
      </c>
      <c r="F41" s="35">
        <f t="shared" si="35"/>
        <v>244985</v>
      </c>
      <c r="G41" s="146">
        <v>0</v>
      </c>
      <c r="H41" s="418">
        <v>0</v>
      </c>
      <c r="I41" s="35">
        <f t="shared" si="36"/>
        <v>0</v>
      </c>
      <c r="J41" s="418">
        <f t="shared" ref="J41:J45" si="37">SUM(E41+H41)</f>
        <v>20215</v>
      </c>
      <c r="K41" s="41"/>
    </row>
    <row r="42" spans="1:11" ht="21" customHeight="1" x14ac:dyDescent="0.3">
      <c r="A42" s="123" t="s">
        <v>127</v>
      </c>
      <c r="B42" s="684">
        <v>591800</v>
      </c>
      <c r="C42" s="35">
        <f t="shared" si="34"/>
        <v>290000</v>
      </c>
      <c r="D42" s="35">
        <v>242000</v>
      </c>
      <c r="E42" s="418">
        <f>'ใบกัน 300'!G190</f>
        <v>395630</v>
      </c>
      <c r="F42" s="35">
        <f t="shared" si="35"/>
        <v>-153630</v>
      </c>
      <c r="G42" s="146">
        <v>48000</v>
      </c>
      <c r="H42" s="418">
        <v>48000</v>
      </c>
      <c r="I42" s="35">
        <f t="shared" si="36"/>
        <v>0</v>
      </c>
      <c r="J42" s="418">
        <f t="shared" si="37"/>
        <v>443630</v>
      </c>
      <c r="K42" s="41"/>
    </row>
    <row r="43" spans="1:11" ht="21" customHeight="1" x14ac:dyDescent="0.3">
      <c r="A43" s="123" t="s">
        <v>128</v>
      </c>
      <c r="B43" s="684">
        <v>969500</v>
      </c>
      <c r="C43" s="35">
        <f t="shared" si="34"/>
        <v>484700</v>
      </c>
      <c r="D43" s="35">
        <v>0</v>
      </c>
      <c r="E43" s="418">
        <f>'ใบกัน 300'!H190</f>
        <v>0</v>
      </c>
      <c r="F43" s="35">
        <f t="shared" si="35"/>
        <v>0</v>
      </c>
      <c r="G43" s="146">
        <v>484700</v>
      </c>
      <c r="H43" s="418">
        <v>484800</v>
      </c>
      <c r="I43" s="35">
        <f t="shared" si="36"/>
        <v>-100</v>
      </c>
      <c r="J43" s="418">
        <f t="shared" si="37"/>
        <v>484800</v>
      </c>
      <c r="K43" s="41"/>
    </row>
    <row r="44" spans="1:11" ht="21" customHeight="1" x14ac:dyDescent="0.3">
      <c r="A44" s="123" t="s">
        <v>129</v>
      </c>
      <c r="B44" s="684">
        <v>897000</v>
      </c>
      <c r="C44" s="35">
        <f t="shared" si="34"/>
        <v>448500</v>
      </c>
      <c r="D44" s="35">
        <v>0</v>
      </c>
      <c r="E44" s="418">
        <v>0</v>
      </c>
      <c r="F44" s="35">
        <f t="shared" si="35"/>
        <v>0</v>
      </c>
      <c r="G44" s="146">
        <v>448500</v>
      </c>
      <c r="H44" s="418">
        <v>448500</v>
      </c>
      <c r="I44" s="35">
        <f t="shared" si="36"/>
        <v>0</v>
      </c>
      <c r="J44" s="418">
        <f t="shared" si="37"/>
        <v>448500</v>
      </c>
      <c r="K44" s="41"/>
    </row>
    <row r="45" spans="1:11" ht="21" customHeight="1" x14ac:dyDescent="0.3">
      <c r="A45" s="123" t="s">
        <v>130</v>
      </c>
      <c r="B45" s="684">
        <v>2440800</v>
      </c>
      <c r="C45" s="35">
        <f t="shared" si="34"/>
        <v>1220400</v>
      </c>
      <c r="D45" s="35">
        <v>1220400</v>
      </c>
      <c r="E45" s="418">
        <f>'ใบกัน 300'!H190</f>
        <v>0</v>
      </c>
      <c r="F45" s="35">
        <f t="shared" si="35"/>
        <v>1220400</v>
      </c>
      <c r="G45" s="146">
        <v>0</v>
      </c>
      <c r="H45" s="551">
        <v>0</v>
      </c>
      <c r="I45" s="35">
        <f t="shared" si="36"/>
        <v>0</v>
      </c>
      <c r="J45" s="418">
        <f t="shared" si="37"/>
        <v>0</v>
      </c>
      <c r="K45" s="41"/>
    </row>
    <row r="46" spans="1:11" ht="21" customHeight="1" x14ac:dyDescent="0.3">
      <c r="A46" s="411" t="s">
        <v>131</v>
      </c>
      <c r="B46" s="62">
        <f>SUM(B47+B50+B51+B55+B56+B57+B58+B59+B60+B61+B62+B63+B73+B74+B76+B75)</f>
        <v>20591300</v>
      </c>
      <c r="C46" s="62">
        <f>SUM(C47+C50+C51+C55+C56+C57+C58+C59+C60+C61+C62+C63+C73+C74+C76+C75)</f>
        <v>17729600</v>
      </c>
      <c r="D46" s="62">
        <f>SUM(D47+D50+D51+D55+D56+D57+D58+D59+D60+D61+D62+D63+D73+D74+D76+D75)</f>
        <v>16210900</v>
      </c>
      <c r="E46" s="417">
        <f>SUM(E47+E50+E51+E55+E56+E57+E58+E59+E60+E61+E62+E63+E73+E74+E76+E75)</f>
        <v>5823540.7800000003</v>
      </c>
      <c r="F46" s="62">
        <f>SUM(F47+F50+F51+F55+F56+F57+F58+F59+F60+F61+F62+F63+F73+F74+F76+F75)</f>
        <v>10387359.220000001</v>
      </c>
      <c r="G46" s="62">
        <f>SUM(G47+G50+G51+G55+G56+G57+G58+G59+G60+G61++G62+G63+G73+G74+G76+G75)</f>
        <v>1518700</v>
      </c>
      <c r="H46" s="417">
        <f>SUM(H47+H50+H51+H55+H56+H57+H58+H59+H60+H61++H62+H63+H73+H74+H76+H75)</f>
        <v>1522250</v>
      </c>
      <c r="I46" s="62">
        <f>SUM(I47+I50+I51+I55+I56+I57+I58+I59+I60+I61+I62+I63+I73+I74+I76+I75)</f>
        <v>-3550</v>
      </c>
      <c r="J46" s="62">
        <f>SUM(J47+J51+J55+J56+J57+J58+J59+J60+J61+J62+J63+J73+J74+J75+J76)</f>
        <v>7336885.7800000003</v>
      </c>
      <c r="K46" s="56"/>
    </row>
    <row r="47" spans="1:11" ht="21" customHeight="1" x14ac:dyDescent="0.3">
      <c r="A47" s="403" t="s">
        <v>132</v>
      </c>
      <c r="B47" s="62">
        <f t="shared" ref="B47:I47" si="38">SUM(B48:B49)</f>
        <v>1553600</v>
      </c>
      <c r="C47" s="62">
        <f t="shared" si="38"/>
        <v>776800</v>
      </c>
      <c r="D47" s="62">
        <f>SUM(D48:D49)</f>
        <v>716800</v>
      </c>
      <c r="E47" s="417">
        <f t="shared" si="38"/>
        <v>192275.53</v>
      </c>
      <c r="F47" s="62">
        <f t="shared" si="38"/>
        <v>524524.47</v>
      </c>
      <c r="G47" s="62">
        <f t="shared" si="38"/>
        <v>60000</v>
      </c>
      <c r="H47" s="417">
        <f t="shared" ref="H47" si="39">SUM(H48:H49)</f>
        <v>60000</v>
      </c>
      <c r="I47" s="62">
        <f t="shared" si="38"/>
        <v>0</v>
      </c>
      <c r="J47" s="417">
        <f t="shared" ref="J47" si="40">SUM(J48:J49)</f>
        <v>252275.53000000003</v>
      </c>
      <c r="K47" s="41"/>
    </row>
    <row r="48" spans="1:11" ht="21" customHeight="1" x14ac:dyDescent="0.3">
      <c r="A48" s="123" t="s">
        <v>133</v>
      </c>
      <c r="B48" s="956">
        <f>626800*2</f>
        <v>1253600</v>
      </c>
      <c r="C48" s="35">
        <f>SUM(D48+G48)</f>
        <v>626800</v>
      </c>
      <c r="D48" s="35">
        <v>566800</v>
      </c>
      <c r="E48" s="418">
        <f>'ใบกัน 400'!E336</f>
        <v>88126.2</v>
      </c>
      <c r="F48" s="35">
        <f>SUM(D48-E48)</f>
        <v>478673.8</v>
      </c>
      <c r="G48" s="146">
        <v>60000</v>
      </c>
      <c r="H48" s="418">
        <v>60000</v>
      </c>
      <c r="I48" s="35">
        <f>SUM(G48-H48)</f>
        <v>0</v>
      </c>
      <c r="J48" s="418">
        <f>SUM(E48+H48)</f>
        <v>148126.20000000001</v>
      </c>
      <c r="K48" s="41"/>
    </row>
    <row r="49" spans="1:11" ht="21" customHeight="1" x14ac:dyDescent="0.3">
      <c r="A49" s="123" t="s">
        <v>134</v>
      </c>
      <c r="B49" s="956">
        <v>300000</v>
      </c>
      <c r="C49" s="35">
        <f>SUM(D49+G49)</f>
        <v>150000</v>
      </c>
      <c r="D49" s="35">
        <v>150000</v>
      </c>
      <c r="E49" s="418">
        <f>'ใบกัน 400'!F336</f>
        <v>104149.33</v>
      </c>
      <c r="F49" s="35">
        <f>SUM(D49-E49)</f>
        <v>45850.67</v>
      </c>
      <c r="G49" s="146"/>
      <c r="H49" s="418"/>
      <c r="I49" s="35">
        <f>SUM(G49-H49)</f>
        <v>0</v>
      </c>
      <c r="J49" s="418">
        <f>SUM(E49+H49)</f>
        <v>104149.33</v>
      </c>
      <c r="K49" s="41"/>
    </row>
    <row r="50" spans="1:11" ht="21" customHeight="1" x14ac:dyDescent="0.3">
      <c r="A50" s="123" t="s">
        <v>135</v>
      </c>
      <c r="B50" s="35">
        <v>328000</v>
      </c>
      <c r="C50" s="35">
        <f>SUM(D50+G50)</f>
        <v>328000</v>
      </c>
      <c r="D50" s="35">
        <v>328000</v>
      </c>
      <c r="E50" s="418">
        <f>'ใบกัน 400'!G336+'ใบกัน 400'!H336+'ใบกัน 400'!I336+'ใบกัน 400'!J336+'ใบกัน 400'!K336</f>
        <v>8905</v>
      </c>
      <c r="F50" s="35">
        <f>SUM(D50-E50)</f>
        <v>319095</v>
      </c>
      <c r="G50" s="146">
        <v>0</v>
      </c>
      <c r="H50" s="418">
        <v>0</v>
      </c>
      <c r="I50" s="35">
        <f>SUM(G50-H50)</f>
        <v>0</v>
      </c>
      <c r="J50" s="418">
        <f>SUM(E50+H50)</f>
        <v>8905</v>
      </c>
      <c r="K50" s="41"/>
    </row>
    <row r="51" spans="1:11" ht="21" customHeight="1" x14ac:dyDescent="0.3">
      <c r="A51" s="403" t="s">
        <v>136</v>
      </c>
      <c r="B51" s="62">
        <f t="shared" ref="B51:J51" si="41">SUM(B52:B54)</f>
        <v>580000</v>
      </c>
      <c r="C51" s="62">
        <f t="shared" si="41"/>
        <v>295900</v>
      </c>
      <c r="D51" s="62">
        <f t="shared" si="41"/>
        <v>247900</v>
      </c>
      <c r="E51" s="417">
        <f>SUM(E52:E54)</f>
        <v>408190</v>
      </c>
      <c r="F51" s="62">
        <f t="shared" si="41"/>
        <v>-160290</v>
      </c>
      <c r="G51" s="62">
        <f t="shared" si="41"/>
        <v>48000</v>
      </c>
      <c r="H51" s="417">
        <f t="shared" ref="H51" si="42">SUM(H52:H54)</f>
        <v>48000</v>
      </c>
      <c r="I51" s="62">
        <f t="shared" si="41"/>
        <v>0</v>
      </c>
      <c r="J51" s="417">
        <f t="shared" si="41"/>
        <v>456190</v>
      </c>
      <c r="K51" s="41"/>
    </row>
    <row r="52" spans="1:11" ht="21" customHeight="1" x14ac:dyDescent="0.3">
      <c r="A52" s="93" t="s">
        <v>137</v>
      </c>
      <c r="B52" s="956">
        <f>380000</f>
        <v>380000</v>
      </c>
      <c r="C52" s="35">
        <f t="shared" ref="C52:C62" si="43">SUM(D52+G52)</f>
        <v>295900</v>
      </c>
      <c r="D52" s="35">
        <v>247900</v>
      </c>
      <c r="E52" s="418">
        <f>'ใบกัน 400'!L336</f>
        <v>54590</v>
      </c>
      <c r="F52" s="35">
        <f t="shared" ref="F52:F62" si="44">SUM(D52-E52)</f>
        <v>193310</v>
      </c>
      <c r="G52" s="146">
        <v>48000</v>
      </c>
      <c r="H52" s="418">
        <v>48000</v>
      </c>
      <c r="I52" s="35">
        <f>SUM(G52-H52)</f>
        <v>0</v>
      </c>
      <c r="J52" s="418">
        <f t="shared" ref="J52:J62" si="45">SUM(E52+H52)</f>
        <v>102590</v>
      </c>
      <c r="K52" s="41"/>
    </row>
    <row r="53" spans="1:11" ht="21" customHeight="1" x14ac:dyDescent="0.3">
      <c r="A53" s="123" t="s">
        <v>138</v>
      </c>
      <c r="B53" s="956">
        <f>216700-46700</f>
        <v>170000</v>
      </c>
      <c r="C53" s="35">
        <f t="shared" si="43"/>
        <v>0</v>
      </c>
      <c r="D53" s="35"/>
      <c r="E53" s="418">
        <f>'ใบกัน 400'!M336</f>
        <v>330000</v>
      </c>
      <c r="F53" s="35">
        <f t="shared" si="44"/>
        <v>-330000</v>
      </c>
      <c r="G53" s="146"/>
      <c r="H53" s="417"/>
      <c r="I53" s="35"/>
      <c r="J53" s="418">
        <f t="shared" si="45"/>
        <v>330000</v>
      </c>
      <c r="K53" s="41"/>
    </row>
    <row r="54" spans="1:11" ht="21" customHeight="1" x14ac:dyDescent="0.3">
      <c r="A54" s="93" t="s">
        <v>139</v>
      </c>
      <c r="B54" s="956">
        <v>30000</v>
      </c>
      <c r="C54" s="35">
        <f t="shared" si="43"/>
        <v>0</v>
      </c>
      <c r="D54" s="35"/>
      <c r="E54" s="418">
        <f>'ใบกัน 400'!N336</f>
        <v>23600</v>
      </c>
      <c r="F54" s="35">
        <f t="shared" si="44"/>
        <v>-23600</v>
      </c>
      <c r="G54" s="146"/>
      <c r="H54" s="417"/>
      <c r="I54" s="35"/>
      <c r="J54" s="418">
        <f t="shared" si="45"/>
        <v>23600</v>
      </c>
      <c r="K54" s="41"/>
    </row>
    <row r="55" spans="1:11" ht="21" customHeight="1" x14ac:dyDescent="0.3">
      <c r="A55" s="123" t="s">
        <v>140</v>
      </c>
      <c r="B55" s="35">
        <v>510000</v>
      </c>
      <c r="C55" s="35">
        <f t="shared" si="43"/>
        <v>255000</v>
      </c>
      <c r="D55" s="35">
        <v>0</v>
      </c>
      <c r="E55" s="418">
        <v>0</v>
      </c>
      <c r="F55" s="35">
        <f t="shared" si="44"/>
        <v>0</v>
      </c>
      <c r="G55" s="146">
        <v>255000</v>
      </c>
      <c r="H55" s="418">
        <v>255000</v>
      </c>
      <c r="I55" s="35">
        <f t="shared" ref="I55:I62" si="46">SUM(G55-H55)</f>
        <v>0</v>
      </c>
      <c r="J55" s="418">
        <f t="shared" si="45"/>
        <v>255000</v>
      </c>
      <c r="K55" s="41"/>
    </row>
    <row r="56" spans="1:11" ht="21" customHeight="1" x14ac:dyDescent="0.3">
      <c r="A56" s="123" t="s">
        <v>141</v>
      </c>
      <c r="B56" s="35">
        <v>600000</v>
      </c>
      <c r="C56" s="35">
        <f t="shared" si="43"/>
        <v>300000</v>
      </c>
      <c r="D56" s="35">
        <v>250000</v>
      </c>
      <c r="E56" s="418">
        <f>'ใบกัน 400'!O336</f>
        <v>55717</v>
      </c>
      <c r="F56" s="35">
        <f t="shared" si="44"/>
        <v>194283</v>
      </c>
      <c r="G56" s="146">
        <v>50000</v>
      </c>
      <c r="H56" s="418">
        <v>53550</v>
      </c>
      <c r="I56" s="35">
        <f t="shared" si="46"/>
        <v>-3550</v>
      </c>
      <c r="J56" s="418">
        <f t="shared" si="45"/>
        <v>109267</v>
      </c>
      <c r="K56" s="41"/>
    </row>
    <row r="57" spans="1:11" ht="21" customHeight="1" x14ac:dyDescent="0.3">
      <c r="A57" s="123" t="s">
        <v>142</v>
      </c>
      <c r="B57" s="35">
        <f>500000</f>
        <v>500000</v>
      </c>
      <c r="C57" s="35">
        <f t="shared" si="43"/>
        <v>250000</v>
      </c>
      <c r="D57" s="35">
        <v>140000</v>
      </c>
      <c r="E57" s="418">
        <f>'ใบกัน 400'!P336</f>
        <v>87210</v>
      </c>
      <c r="F57" s="35">
        <f t="shared" si="44"/>
        <v>52790</v>
      </c>
      <c r="G57" s="146">
        <v>110000</v>
      </c>
      <c r="H57" s="418">
        <v>110000</v>
      </c>
      <c r="I57" s="35">
        <f t="shared" si="46"/>
        <v>0</v>
      </c>
      <c r="J57" s="418">
        <f t="shared" si="45"/>
        <v>197210</v>
      </c>
      <c r="K57" s="41"/>
    </row>
    <row r="58" spans="1:11" ht="21" customHeight="1" x14ac:dyDescent="0.3">
      <c r="A58" s="123" t="s">
        <v>143</v>
      </c>
      <c r="B58" s="35">
        <v>230400</v>
      </c>
      <c r="C58" s="35">
        <f t="shared" si="43"/>
        <v>115200</v>
      </c>
      <c r="D58" s="35">
        <v>0</v>
      </c>
      <c r="E58" s="418">
        <v>0</v>
      </c>
      <c r="F58" s="35">
        <f t="shared" si="44"/>
        <v>0</v>
      </c>
      <c r="G58" s="146">
        <v>115200</v>
      </c>
      <c r="H58" s="418">
        <v>115200</v>
      </c>
      <c r="I58" s="35">
        <f t="shared" si="46"/>
        <v>0</v>
      </c>
      <c r="J58" s="418">
        <f t="shared" si="45"/>
        <v>115200</v>
      </c>
      <c r="K58" s="41"/>
    </row>
    <row r="59" spans="1:11" ht="21" customHeight="1" x14ac:dyDescent="0.3">
      <c r="A59" s="123" t="s">
        <v>144</v>
      </c>
      <c r="B59" s="35">
        <v>372600</v>
      </c>
      <c r="C59" s="35">
        <f t="shared" si="43"/>
        <v>186300</v>
      </c>
      <c r="D59" s="35">
        <v>0</v>
      </c>
      <c r="E59" s="418">
        <v>0</v>
      </c>
      <c r="F59" s="35">
        <f t="shared" si="44"/>
        <v>0</v>
      </c>
      <c r="G59" s="146">
        <v>186300</v>
      </c>
      <c r="H59" s="418">
        <v>186300</v>
      </c>
      <c r="I59" s="35">
        <f t="shared" si="46"/>
        <v>0</v>
      </c>
      <c r="J59" s="418">
        <f t="shared" si="45"/>
        <v>186300</v>
      </c>
      <c r="K59" s="41"/>
    </row>
    <row r="60" spans="1:11" ht="21" customHeight="1" x14ac:dyDescent="0.3">
      <c r="A60" s="123" t="s">
        <v>145</v>
      </c>
      <c r="B60" s="35">
        <v>634000</v>
      </c>
      <c r="C60" s="35">
        <f t="shared" si="43"/>
        <v>317000</v>
      </c>
      <c r="D60" s="35">
        <v>0</v>
      </c>
      <c r="E60" s="418">
        <v>0</v>
      </c>
      <c r="F60" s="35">
        <f t="shared" si="44"/>
        <v>0</v>
      </c>
      <c r="G60" s="146">
        <v>317000</v>
      </c>
      <c r="H60" s="418">
        <v>317000</v>
      </c>
      <c r="I60" s="35">
        <f t="shared" si="46"/>
        <v>0</v>
      </c>
      <c r="J60" s="418">
        <f t="shared" si="45"/>
        <v>317000</v>
      </c>
      <c r="K60" s="41"/>
    </row>
    <row r="61" spans="1:11" ht="21" customHeight="1" x14ac:dyDescent="0.3">
      <c r="A61" s="691" t="s">
        <v>146</v>
      </c>
      <c r="B61" s="684">
        <v>530100</v>
      </c>
      <c r="C61" s="684">
        <f t="shared" si="43"/>
        <v>265000</v>
      </c>
      <c r="D61" s="684">
        <v>0</v>
      </c>
      <c r="E61" s="692">
        <v>0</v>
      </c>
      <c r="F61" s="684">
        <f t="shared" si="44"/>
        <v>0</v>
      </c>
      <c r="G61" s="686">
        <v>265000</v>
      </c>
      <c r="H61" s="692">
        <v>265000</v>
      </c>
      <c r="I61" s="684">
        <f t="shared" si="46"/>
        <v>0</v>
      </c>
      <c r="J61" s="692">
        <f t="shared" si="45"/>
        <v>265000</v>
      </c>
      <c r="K61" s="41"/>
    </row>
    <row r="62" spans="1:11" ht="24.75" customHeight="1" x14ac:dyDescent="0.3">
      <c r="A62" s="691" t="s">
        <v>1259</v>
      </c>
      <c r="B62" s="684">
        <v>224400</v>
      </c>
      <c r="C62" s="684">
        <f t="shared" si="43"/>
        <v>112200</v>
      </c>
      <c r="D62" s="684">
        <v>0</v>
      </c>
      <c r="E62" s="692">
        <v>0</v>
      </c>
      <c r="F62" s="684">
        <f t="shared" si="44"/>
        <v>0</v>
      </c>
      <c r="G62" s="686">
        <v>112200</v>
      </c>
      <c r="H62" s="692">
        <v>112200</v>
      </c>
      <c r="I62" s="684">
        <f t="shared" si="46"/>
        <v>0</v>
      </c>
      <c r="J62" s="692">
        <f t="shared" si="45"/>
        <v>112200</v>
      </c>
      <c r="K62" s="41"/>
    </row>
    <row r="63" spans="1:11" ht="21" customHeight="1" x14ac:dyDescent="0.3">
      <c r="A63" s="52" t="s">
        <v>1260</v>
      </c>
      <c r="B63" s="54">
        <f t="shared" ref="B63:J63" si="47">SUM(B64:B72)</f>
        <v>4000000</v>
      </c>
      <c r="C63" s="54">
        <f t="shared" si="47"/>
        <v>4000000</v>
      </c>
      <c r="D63" s="54">
        <f t="shared" si="47"/>
        <v>4000000</v>
      </c>
      <c r="E63" s="555">
        <f t="shared" si="47"/>
        <v>4191174.25</v>
      </c>
      <c r="F63" s="54">
        <f t="shared" si="47"/>
        <v>-191174.25</v>
      </c>
      <c r="G63" s="54">
        <f t="shared" si="47"/>
        <v>0</v>
      </c>
      <c r="H63" s="555">
        <f t="shared" ref="H63" si="48">SUM(H64:H73)</f>
        <v>0</v>
      </c>
      <c r="I63" s="54">
        <f t="shared" si="47"/>
        <v>0</v>
      </c>
      <c r="J63" s="555">
        <f t="shared" si="47"/>
        <v>4191174.25</v>
      </c>
      <c r="K63" s="41"/>
    </row>
    <row r="64" spans="1:11" ht="21" customHeight="1" x14ac:dyDescent="0.3">
      <c r="A64" s="123" t="s">
        <v>147</v>
      </c>
      <c r="B64" s="35">
        <v>214000</v>
      </c>
      <c r="C64" s="35">
        <v>214000</v>
      </c>
      <c r="D64" s="35">
        <v>214000</v>
      </c>
      <c r="E64" s="418">
        <f>SUM('ใบกัน 400'!T336)</f>
        <v>214000</v>
      </c>
      <c r="F64" s="35">
        <f t="shared" ref="F64:F76" si="49">SUM(D64-E64)</f>
        <v>0</v>
      </c>
      <c r="G64" s="146">
        <v>0</v>
      </c>
      <c r="H64" s="418">
        <v>0</v>
      </c>
      <c r="I64" s="35"/>
      <c r="J64" s="418">
        <f t="shared" ref="J64:J76" si="50">SUM(E64+H64)</f>
        <v>214000</v>
      </c>
      <c r="K64" s="41"/>
    </row>
    <row r="65" spans="1:11" ht="21" customHeight="1" x14ac:dyDescent="0.3">
      <c r="A65" s="123" t="s">
        <v>148</v>
      </c>
      <c r="B65" s="35">
        <v>388945</v>
      </c>
      <c r="C65" s="35">
        <v>388945</v>
      </c>
      <c r="D65" s="35">
        <v>388945</v>
      </c>
      <c r="E65" s="418">
        <f>SUM('ใบกัน 400'!U336)</f>
        <v>0</v>
      </c>
      <c r="F65" s="35">
        <f t="shared" si="49"/>
        <v>388945</v>
      </c>
      <c r="G65" s="146">
        <v>0</v>
      </c>
      <c r="H65" s="418">
        <v>0</v>
      </c>
      <c r="I65" s="35"/>
      <c r="J65" s="418">
        <f t="shared" si="50"/>
        <v>0</v>
      </c>
      <c r="K65" s="41"/>
    </row>
    <row r="66" spans="1:11" ht="21" customHeight="1" x14ac:dyDescent="0.3">
      <c r="A66" s="123" t="s">
        <v>149</v>
      </c>
      <c r="B66" s="35">
        <v>74900</v>
      </c>
      <c r="C66" s="35">
        <v>74900</v>
      </c>
      <c r="D66" s="35">
        <v>74900</v>
      </c>
      <c r="E66" s="418">
        <f>SUM('ใบกัน 400'!V336)</f>
        <v>98000</v>
      </c>
      <c r="F66" s="35">
        <f t="shared" si="49"/>
        <v>-23100</v>
      </c>
      <c r="G66" s="146">
        <v>0</v>
      </c>
      <c r="H66" s="418">
        <v>0</v>
      </c>
      <c r="I66" s="35"/>
      <c r="J66" s="418">
        <f t="shared" si="50"/>
        <v>98000</v>
      </c>
      <c r="K66" s="41"/>
    </row>
    <row r="67" spans="1:11" ht="21" customHeight="1" x14ac:dyDescent="0.3">
      <c r="A67" s="123" t="s">
        <v>150</v>
      </c>
      <c r="B67" s="35">
        <v>1193659</v>
      </c>
      <c r="C67" s="35">
        <v>1193659</v>
      </c>
      <c r="D67" s="35">
        <v>1193659</v>
      </c>
      <c r="E67" s="418">
        <f>SUM('ใบกัน 400'!W336)</f>
        <v>1657002</v>
      </c>
      <c r="F67" s="35">
        <f t="shared" si="49"/>
        <v>-463343</v>
      </c>
      <c r="G67" s="146">
        <v>0</v>
      </c>
      <c r="H67" s="551">
        <v>0</v>
      </c>
      <c r="I67" s="35"/>
      <c r="J67" s="418">
        <f t="shared" si="50"/>
        <v>1657002</v>
      </c>
      <c r="K67" s="41"/>
    </row>
    <row r="68" spans="1:11" ht="21" customHeight="1" x14ac:dyDescent="0.3">
      <c r="A68" s="123" t="s">
        <v>151</v>
      </c>
      <c r="B68" s="35">
        <v>1504800</v>
      </c>
      <c r="C68" s="35">
        <v>1504800</v>
      </c>
      <c r="D68" s="35">
        <v>1504800</v>
      </c>
      <c r="E68" s="418">
        <f>SUM('ใบกัน 400'!X336)</f>
        <v>1620000</v>
      </c>
      <c r="F68" s="35">
        <f t="shared" si="49"/>
        <v>-115200</v>
      </c>
      <c r="G68" s="146">
        <v>0</v>
      </c>
      <c r="H68" s="418">
        <v>0</v>
      </c>
      <c r="I68" s="35"/>
      <c r="J68" s="418">
        <f t="shared" si="50"/>
        <v>1620000</v>
      </c>
      <c r="K68" s="41"/>
    </row>
    <row r="69" spans="1:11" ht="21" customHeight="1" x14ac:dyDescent="0.3">
      <c r="A69" s="123" t="s">
        <v>152</v>
      </c>
      <c r="B69" s="35">
        <v>189600</v>
      </c>
      <c r="C69" s="35">
        <v>189600</v>
      </c>
      <c r="D69" s="35">
        <v>189600</v>
      </c>
      <c r="E69" s="418">
        <f>SUM('ใบกัน 400'!Y336)</f>
        <v>0</v>
      </c>
      <c r="F69" s="35">
        <f t="shared" si="49"/>
        <v>189600</v>
      </c>
      <c r="G69" s="146">
        <v>0</v>
      </c>
      <c r="H69" s="418">
        <v>0</v>
      </c>
      <c r="I69" s="35"/>
      <c r="J69" s="418">
        <f t="shared" si="50"/>
        <v>0</v>
      </c>
      <c r="K69" s="41"/>
    </row>
    <row r="70" spans="1:11" ht="21" customHeight="1" x14ac:dyDescent="0.3">
      <c r="A70" s="123" t="s">
        <v>153</v>
      </c>
      <c r="B70" s="35">
        <v>99296</v>
      </c>
      <c r="C70" s="35">
        <v>99296</v>
      </c>
      <c r="D70" s="35">
        <v>99296</v>
      </c>
      <c r="E70" s="418">
        <f>SUM('ใบกัน 400'!Z336)</f>
        <v>99296</v>
      </c>
      <c r="F70" s="35">
        <f t="shared" si="49"/>
        <v>0</v>
      </c>
      <c r="G70" s="146">
        <v>0</v>
      </c>
      <c r="H70" s="418">
        <v>0</v>
      </c>
      <c r="I70" s="35"/>
      <c r="J70" s="418">
        <f t="shared" si="50"/>
        <v>99296</v>
      </c>
      <c r="K70" s="41"/>
    </row>
    <row r="71" spans="1:11" s="1013" customFormat="1" ht="21" customHeight="1" x14ac:dyDescent="0.3">
      <c r="A71" s="123" t="s">
        <v>1754</v>
      </c>
      <c r="B71" s="35">
        <v>174800</v>
      </c>
      <c r="C71" s="35">
        <v>174800</v>
      </c>
      <c r="D71" s="35">
        <v>174800</v>
      </c>
      <c r="E71" s="418">
        <f>'ใบกัน 400'!AB336</f>
        <v>350000</v>
      </c>
      <c r="F71" s="35">
        <f t="shared" ref="F71" si="51">SUM(D71-E71)</f>
        <v>-175200</v>
      </c>
      <c r="G71" s="146">
        <v>0</v>
      </c>
      <c r="H71" s="418">
        <v>0</v>
      </c>
      <c r="I71" s="35"/>
      <c r="J71" s="418">
        <f t="shared" ref="J71" si="52">SUM(E71+H71)</f>
        <v>350000</v>
      </c>
      <c r="K71" s="41"/>
    </row>
    <row r="72" spans="1:11" ht="21" customHeight="1" x14ac:dyDescent="0.3">
      <c r="A72" s="123" t="s">
        <v>154</v>
      </c>
      <c r="B72" s="35">
        <v>160000</v>
      </c>
      <c r="C72" s="35">
        <v>160000</v>
      </c>
      <c r="D72" s="35">
        <v>160000</v>
      </c>
      <c r="E72" s="418">
        <f>'ใบกัน 400'!AA336</f>
        <v>152876.25</v>
      </c>
      <c r="F72" s="35">
        <f t="shared" si="49"/>
        <v>7123.75</v>
      </c>
      <c r="G72" s="146">
        <v>0</v>
      </c>
      <c r="H72" s="418">
        <v>0</v>
      </c>
      <c r="I72" s="35"/>
      <c r="J72" s="418">
        <f t="shared" si="50"/>
        <v>152876.25</v>
      </c>
      <c r="K72" s="41"/>
    </row>
    <row r="73" spans="1:11" ht="21" customHeight="1" x14ac:dyDescent="0.3">
      <c r="A73" s="123" t="s">
        <v>1261</v>
      </c>
      <c r="B73" s="35">
        <v>8500000</v>
      </c>
      <c r="C73" s="35">
        <f t="shared" ref="C73:C74" si="53">SUM(D73+G73)</f>
        <v>8500000</v>
      </c>
      <c r="D73" s="35">
        <v>8500000</v>
      </c>
      <c r="E73" s="418">
        <f>SUM('ใบกัน 400'!AE336)</f>
        <v>515869</v>
      </c>
      <c r="F73" s="35">
        <f t="shared" si="49"/>
        <v>7984131</v>
      </c>
      <c r="G73" s="146">
        <v>0</v>
      </c>
      <c r="H73" s="418">
        <v>0</v>
      </c>
      <c r="I73" s="35"/>
      <c r="J73" s="418">
        <f t="shared" si="50"/>
        <v>515869</v>
      </c>
      <c r="K73" s="41"/>
    </row>
    <row r="74" spans="1:11" ht="21" customHeight="1" x14ac:dyDescent="0.3">
      <c r="A74" s="123" t="s">
        <v>1262</v>
      </c>
      <c r="B74" s="35">
        <v>198000</v>
      </c>
      <c r="C74" s="35">
        <f t="shared" si="53"/>
        <v>198000</v>
      </c>
      <c r="D74" s="35">
        <v>198000</v>
      </c>
      <c r="E74" s="418">
        <f>SUM('ใบกัน 400'!AC336)</f>
        <v>364200</v>
      </c>
      <c r="F74" s="35">
        <f t="shared" si="49"/>
        <v>-166200</v>
      </c>
      <c r="G74" s="146">
        <v>0</v>
      </c>
      <c r="H74" s="418">
        <v>0</v>
      </c>
      <c r="I74" s="35"/>
      <c r="J74" s="418">
        <f t="shared" si="50"/>
        <v>364200</v>
      </c>
      <c r="K74" s="41"/>
    </row>
    <row r="75" spans="1:11" ht="56.25" x14ac:dyDescent="0.3">
      <c r="A75" s="683" t="s">
        <v>1263</v>
      </c>
      <c r="B75" s="35">
        <v>716400</v>
      </c>
      <c r="C75" s="35">
        <f>SUM(D75+G75)</f>
        <v>716400</v>
      </c>
      <c r="D75" s="35">
        <v>716400</v>
      </c>
      <c r="E75" s="418">
        <f>SUM('ใบกัน 400'!AD336)</f>
        <v>0</v>
      </c>
      <c r="F75" s="35">
        <f t="shared" ref="F75" si="54">SUM(D75-E75)</f>
        <v>716400</v>
      </c>
      <c r="G75" s="146">
        <v>0</v>
      </c>
      <c r="H75" s="692">
        <v>0</v>
      </c>
      <c r="I75" s="684">
        <v>0</v>
      </c>
      <c r="J75" s="692">
        <v>0</v>
      </c>
      <c r="K75" s="41"/>
    </row>
    <row r="76" spans="1:11" ht="21" customHeight="1" x14ac:dyDescent="0.3">
      <c r="A76" s="123" t="s">
        <v>1264</v>
      </c>
      <c r="B76" s="35">
        <v>1113800</v>
      </c>
      <c r="C76" s="35">
        <f>SUM(D76+G76)</f>
        <v>1113800</v>
      </c>
      <c r="D76" s="35">
        <v>1113800</v>
      </c>
      <c r="E76" s="418">
        <f>SUM('ใบกัน 400'!AD336)</f>
        <v>0</v>
      </c>
      <c r="F76" s="35">
        <f t="shared" si="49"/>
        <v>1113800</v>
      </c>
      <c r="G76" s="146">
        <v>0</v>
      </c>
      <c r="H76" s="551">
        <v>0</v>
      </c>
      <c r="I76" s="35">
        <f>SUM(G76-H76)</f>
        <v>0</v>
      </c>
      <c r="J76" s="418">
        <f t="shared" si="50"/>
        <v>0</v>
      </c>
      <c r="K76" s="41"/>
    </row>
    <row r="77" spans="1:11" ht="21" customHeight="1" x14ac:dyDescent="0.3">
      <c r="A77" s="411" t="s">
        <v>155</v>
      </c>
      <c r="B77" s="62">
        <f t="shared" ref="B77:I77" si="55">SUM(B78:B85)</f>
        <v>5029000</v>
      </c>
      <c r="C77" s="62">
        <f t="shared" si="55"/>
        <v>4464500</v>
      </c>
      <c r="D77" s="62">
        <f t="shared" si="55"/>
        <v>4007500</v>
      </c>
      <c r="E77" s="417">
        <f t="shared" si="55"/>
        <v>906442.98</v>
      </c>
      <c r="F77" s="62">
        <f t="shared" si="55"/>
        <v>3101057.02</v>
      </c>
      <c r="G77" s="62">
        <f t="shared" si="55"/>
        <v>457000</v>
      </c>
      <c r="H77" s="418">
        <f>SUM(H78:H85)</f>
        <v>384600</v>
      </c>
      <c r="I77" s="62">
        <f t="shared" si="55"/>
        <v>72400</v>
      </c>
      <c r="J77" s="417">
        <f>SUM(J78:J85)</f>
        <v>1291042.98</v>
      </c>
      <c r="K77" s="56"/>
    </row>
    <row r="78" spans="1:11" ht="21" customHeight="1" x14ac:dyDescent="0.3">
      <c r="A78" s="123" t="s">
        <v>156</v>
      </c>
      <c r="B78" s="35">
        <v>1800000</v>
      </c>
      <c r="C78" s="35">
        <f t="shared" ref="C78:C85" si="56">SUM(D78+G78)</f>
        <v>1800000</v>
      </c>
      <c r="D78" s="35">
        <v>1700000</v>
      </c>
      <c r="E78" s="418">
        <f>SUM('ใบกัน 500'!E175)</f>
        <v>716542.98</v>
      </c>
      <c r="F78" s="35">
        <f t="shared" ref="F78:F85" si="57">SUM(D78-E78)</f>
        <v>983457.02</v>
      </c>
      <c r="G78" s="146">
        <v>100000</v>
      </c>
      <c r="H78" s="418">
        <v>50000</v>
      </c>
      <c r="I78" s="35">
        <f t="shared" ref="I78:I85" si="58">SUM(G78-H78)</f>
        <v>50000</v>
      </c>
      <c r="J78" s="418">
        <f t="shared" ref="J78:J85" si="59">SUM(E78+H78)</f>
        <v>766542.98</v>
      </c>
      <c r="K78" s="41"/>
    </row>
    <row r="79" spans="1:11" ht="21" customHeight="1" x14ac:dyDescent="0.3">
      <c r="A79" s="123" t="s">
        <v>157</v>
      </c>
      <c r="B79" s="35">
        <f>370000+100000</f>
        <v>470000</v>
      </c>
      <c r="C79" s="35">
        <f t="shared" si="56"/>
        <v>235000</v>
      </c>
      <c r="D79" s="35">
        <v>150000</v>
      </c>
      <c r="E79" s="418">
        <f>SUM('ใบกัน 500'!F175)</f>
        <v>180000</v>
      </c>
      <c r="F79" s="35">
        <f t="shared" si="57"/>
        <v>-30000</v>
      </c>
      <c r="G79" s="146">
        <v>85000</v>
      </c>
      <c r="H79" s="418">
        <v>85000</v>
      </c>
      <c r="I79" s="35">
        <f t="shared" si="58"/>
        <v>0</v>
      </c>
      <c r="J79" s="418">
        <f t="shared" si="59"/>
        <v>265000</v>
      </c>
      <c r="K79" s="41"/>
    </row>
    <row r="80" spans="1:11" ht="21" customHeight="1" x14ac:dyDescent="0.3">
      <c r="A80" s="123" t="s">
        <v>158</v>
      </c>
      <c r="B80" s="35">
        <v>150000</v>
      </c>
      <c r="C80" s="35">
        <f t="shared" si="56"/>
        <v>75000</v>
      </c>
      <c r="D80" s="35">
        <v>0</v>
      </c>
      <c r="E80" s="418">
        <v>0</v>
      </c>
      <c r="F80" s="35">
        <f t="shared" si="57"/>
        <v>0</v>
      </c>
      <c r="G80" s="146">
        <v>75000</v>
      </c>
      <c r="H80" s="418">
        <v>75000</v>
      </c>
      <c r="I80" s="35">
        <f t="shared" si="58"/>
        <v>0</v>
      </c>
      <c r="J80" s="418">
        <f t="shared" si="59"/>
        <v>75000</v>
      </c>
      <c r="K80" s="41"/>
    </row>
    <row r="81" spans="1:11" ht="21" customHeight="1" x14ac:dyDescent="0.3">
      <c r="A81" s="123" t="s">
        <v>159</v>
      </c>
      <c r="B81" s="35">
        <v>154000</v>
      </c>
      <c r="C81" s="35">
        <f t="shared" si="56"/>
        <v>77000</v>
      </c>
      <c r="D81" s="35">
        <v>0</v>
      </c>
      <c r="E81" s="418">
        <f>'ใบกัน 500'!G175</f>
        <v>0</v>
      </c>
      <c r="F81" s="35">
        <f t="shared" si="57"/>
        <v>0</v>
      </c>
      <c r="G81" s="146">
        <v>77000</v>
      </c>
      <c r="H81" s="418">
        <v>77000</v>
      </c>
      <c r="I81" s="35">
        <f t="shared" si="58"/>
        <v>0</v>
      </c>
      <c r="J81" s="418">
        <f t="shared" si="59"/>
        <v>77000</v>
      </c>
      <c r="K81" s="41"/>
    </row>
    <row r="82" spans="1:11" ht="21" customHeight="1" x14ac:dyDescent="0.3">
      <c r="A82" s="123" t="s">
        <v>160</v>
      </c>
      <c r="B82" s="35">
        <v>30000</v>
      </c>
      <c r="C82" s="35">
        <f t="shared" si="56"/>
        <v>15000</v>
      </c>
      <c r="D82" s="35">
        <v>0</v>
      </c>
      <c r="E82" s="418">
        <v>0</v>
      </c>
      <c r="F82" s="35">
        <f t="shared" si="57"/>
        <v>0</v>
      </c>
      <c r="G82" s="146">
        <v>15000</v>
      </c>
      <c r="H82" s="418">
        <v>15000</v>
      </c>
      <c r="I82" s="35">
        <f t="shared" si="58"/>
        <v>0</v>
      </c>
      <c r="J82" s="418">
        <f t="shared" si="59"/>
        <v>15000</v>
      </c>
      <c r="K82" s="41"/>
    </row>
    <row r="83" spans="1:11" ht="21" customHeight="1" x14ac:dyDescent="0.3">
      <c r="A83" s="123" t="s">
        <v>161</v>
      </c>
      <c r="B83" s="35">
        <f>1500000+600000</f>
        <v>2100000</v>
      </c>
      <c r="C83" s="35">
        <f t="shared" si="56"/>
        <v>2100000</v>
      </c>
      <c r="D83" s="35">
        <v>2055000</v>
      </c>
      <c r="E83" s="418">
        <f>'ใบกัน 500'!H175</f>
        <v>0</v>
      </c>
      <c r="F83" s="35">
        <f t="shared" si="57"/>
        <v>2055000</v>
      </c>
      <c r="G83" s="146">
        <v>45000</v>
      </c>
      <c r="H83" s="418">
        <v>22500</v>
      </c>
      <c r="I83" s="35">
        <f t="shared" si="58"/>
        <v>22500</v>
      </c>
      <c r="J83" s="418">
        <f t="shared" si="59"/>
        <v>22500</v>
      </c>
      <c r="K83" s="41"/>
    </row>
    <row r="84" spans="1:11" ht="21" customHeight="1" x14ac:dyDescent="0.3">
      <c r="A84" s="123" t="s">
        <v>162</v>
      </c>
      <c r="B84" s="35">
        <f>106700+18300</f>
        <v>125000</v>
      </c>
      <c r="C84" s="35">
        <f t="shared" si="56"/>
        <v>62500</v>
      </c>
      <c r="D84" s="35">
        <v>32500</v>
      </c>
      <c r="E84" s="418">
        <f>SUM('ใบกัน 500'!J175)</f>
        <v>0</v>
      </c>
      <c r="F84" s="35">
        <f t="shared" si="57"/>
        <v>32500</v>
      </c>
      <c r="G84" s="146">
        <v>30000</v>
      </c>
      <c r="H84" s="418">
        <v>30000</v>
      </c>
      <c r="I84" s="35">
        <f t="shared" si="58"/>
        <v>0</v>
      </c>
      <c r="J84" s="418">
        <f t="shared" si="59"/>
        <v>30000</v>
      </c>
      <c r="K84" s="41"/>
    </row>
    <row r="85" spans="1:11" ht="21" customHeight="1" x14ac:dyDescent="0.3">
      <c r="A85" s="123" t="s">
        <v>163</v>
      </c>
      <c r="B85" s="35">
        <f>216700-16700</f>
        <v>200000</v>
      </c>
      <c r="C85" s="35">
        <f t="shared" si="56"/>
        <v>100000</v>
      </c>
      <c r="D85" s="35">
        <v>70000</v>
      </c>
      <c r="E85" s="418">
        <f>SUM('ใบกัน 500'!K175)</f>
        <v>9900</v>
      </c>
      <c r="F85" s="35">
        <f t="shared" si="57"/>
        <v>60100</v>
      </c>
      <c r="G85" s="146">
        <v>30000</v>
      </c>
      <c r="H85" s="418">
        <v>30100</v>
      </c>
      <c r="I85" s="35">
        <f t="shared" si="58"/>
        <v>-100</v>
      </c>
      <c r="J85" s="418">
        <f t="shared" si="59"/>
        <v>40000</v>
      </c>
      <c r="K85" s="41"/>
    </row>
    <row r="86" spans="1:11" ht="21" customHeight="1" x14ac:dyDescent="0.3">
      <c r="A86" s="52" t="s">
        <v>164</v>
      </c>
      <c r="B86" s="54">
        <f>SUM(B87:B92)</f>
        <v>11715700</v>
      </c>
      <c r="C86" s="54">
        <f t="shared" ref="C86:I86" si="60">SUM(C87:C92)</f>
        <v>7907600</v>
      </c>
      <c r="D86" s="54">
        <f t="shared" si="60"/>
        <v>7464600</v>
      </c>
      <c r="E86" s="555">
        <f>SUM(E87:E92)</f>
        <v>4726660.1199999992</v>
      </c>
      <c r="F86" s="54">
        <f t="shared" si="60"/>
        <v>2737939.88</v>
      </c>
      <c r="G86" s="54">
        <f t="shared" si="60"/>
        <v>443000</v>
      </c>
      <c r="H86" s="555">
        <f>SUM(H87:H92)</f>
        <v>422999.51</v>
      </c>
      <c r="I86" s="54">
        <f t="shared" si="60"/>
        <v>20000.489999999998</v>
      </c>
      <c r="J86" s="555">
        <f>SUM(J87:J92)</f>
        <v>5149659.629999999</v>
      </c>
      <c r="K86" s="41"/>
    </row>
    <row r="87" spans="1:11" ht="21" customHeight="1" x14ac:dyDescent="0.3">
      <c r="A87" s="123" t="s">
        <v>165</v>
      </c>
      <c r="B87" s="35">
        <f>4640000+1599700</f>
        <v>6239700</v>
      </c>
      <c r="C87" s="35">
        <v>3119800</v>
      </c>
      <c r="D87" s="35">
        <v>3019800</v>
      </c>
      <c r="E87" s="418">
        <f>SUM('ใบกัน 450'!E172)</f>
        <v>1908667.52</v>
      </c>
      <c r="F87" s="35">
        <f>SUM(D87-E87)</f>
        <v>1111132.48</v>
      </c>
      <c r="G87" s="146">
        <v>100000</v>
      </c>
      <c r="H87" s="551">
        <v>90000</v>
      </c>
      <c r="I87" s="35">
        <f>SUM(G87-H87)</f>
        <v>10000</v>
      </c>
      <c r="J87" s="418">
        <f>SUM(E87+H87)</f>
        <v>1998667.52</v>
      </c>
      <c r="K87" s="41"/>
    </row>
    <row r="88" spans="1:11" ht="21" customHeight="1" x14ac:dyDescent="0.3">
      <c r="A88" s="556" t="s">
        <v>166</v>
      </c>
      <c r="B88" s="35">
        <v>440000</v>
      </c>
      <c r="C88" s="35">
        <v>219800</v>
      </c>
      <c r="D88" s="35">
        <v>159800</v>
      </c>
      <c r="E88" s="418">
        <f>SUM('ใบกัน 450'!F172)+SUM('ใบกัน 450'!G172)</f>
        <v>37628.959999999999</v>
      </c>
      <c r="F88" s="35">
        <f>SUM(D88-E88)</f>
        <v>122171.04000000001</v>
      </c>
      <c r="G88" s="146">
        <v>60000</v>
      </c>
      <c r="H88" s="551">
        <v>50000</v>
      </c>
      <c r="I88" s="35">
        <f>SUM(G88-H88)</f>
        <v>10000</v>
      </c>
      <c r="J88" s="418">
        <f>SUM(E88+H88)</f>
        <v>87628.959999999992</v>
      </c>
      <c r="K88" s="41"/>
    </row>
    <row r="89" spans="1:11" ht="21" customHeight="1" x14ac:dyDescent="0.3">
      <c r="A89" s="691" t="s">
        <v>167</v>
      </c>
      <c r="B89" s="684">
        <f>456700+23300</f>
        <v>480000</v>
      </c>
      <c r="C89" s="684">
        <v>240000</v>
      </c>
      <c r="D89" s="684">
        <v>225000</v>
      </c>
      <c r="E89" s="692">
        <f>SUM('ใบกัน 450'!H172)</f>
        <v>94447</v>
      </c>
      <c r="F89" s="684">
        <f>SUM(D89-E89)</f>
        <v>130553</v>
      </c>
      <c r="G89" s="686">
        <v>15000</v>
      </c>
      <c r="H89" s="702">
        <v>14999.51</v>
      </c>
      <c r="I89" s="684">
        <f>SUM(G89-H89)</f>
        <v>0.48999999999978172</v>
      </c>
      <c r="J89" s="692">
        <f>SUM(E89+H89)</f>
        <v>109446.51</v>
      </c>
      <c r="K89" s="41"/>
    </row>
    <row r="90" spans="1:11" ht="21" customHeight="1" x14ac:dyDescent="0.3">
      <c r="A90" s="691" t="s">
        <v>168</v>
      </c>
      <c r="B90" s="684">
        <v>0</v>
      </c>
      <c r="C90" s="684">
        <f>SUM(D90+G90)</f>
        <v>0</v>
      </c>
      <c r="D90" s="684">
        <v>0</v>
      </c>
      <c r="E90" s="692">
        <v>0</v>
      </c>
      <c r="F90" s="684">
        <f>SUM(D90-E90)</f>
        <v>0</v>
      </c>
      <c r="G90" s="686">
        <v>0</v>
      </c>
      <c r="H90" s="702"/>
      <c r="I90" s="684">
        <f>SUM(G90-H90)</f>
        <v>0</v>
      </c>
      <c r="J90" s="692">
        <f>SUM(E90+H90)</f>
        <v>0</v>
      </c>
      <c r="K90" s="41"/>
    </row>
    <row r="91" spans="1:11" ht="21" customHeight="1" x14ac:dyDescent="0.3">
      <c r="A91" s="700" t="s">
        <v>169</v>
      </c>
      <c r="B91" s="688">
        <v>456000</v>
      </c>
      <c r="C91" s="688">
        <v>228000</v>
      </c>
      <c r="D91" s="688">
        <v>0</v>
      </c>
      <c r="E91" s="701">
        <v>0</v>
      </c>
      <c r="F91" s="688">
        <f>SUM(D91-E91)</f>
        <v>0</v>
      </c>
      <c r="G91" s="690">
        <v>228000</v>
      </c>
      <c r="H91" s="703">
        <v>228000</v>
      </c>
      <c r="I91" s="688">
        <f>SUM(G91-H91)</f>
        <v>0</v>
      </c>
      <c r="J91" s="701">
        <f>SUM(E91+H91)</f>
        <v>228000</v>
      </c>
      <c r="K91" s="41"/>
    </row>
    <row r="92" spans="1:11" ht="21" customHeight="1" x14ac:dyDescent="0.3">
      <c r="A92" s="52" t="s">
        <v>170</v>
      </c>
      <c r="B92" s="54">
        <f t="shared" ref="B92:J92" si="61">SUM(B93:B97)</f>
        <v>4100000</v>
      </c>
      <c r="C92" s="54">
        <f t="shared" si="61"/>
        <v>4100000</v>
      </c>
      <c r="D92" s="54">
        <f t="shared" si="61"/>
        <v>4060000</v>
      </c>
      <c r="E92" s="555">
        <f t="shared" si="61"/>
        <v>2685916.6399999997</v>
      </c>
      <c r="F92" s="54">
        <f t="shared" si="61"/>
        <v>1374083.36</v>
      </c>
      <c r="G92" s="54">
        <f t="shared" si="61"/>
        <v>40000</v>
      </c>
      <c r="H92" s="555">
        <f t="shared" si="61"/>
        <v>40000</v>
      </c>
      <c r="I92" s="54">
        <f t="shared" si="61"/>
        <v>0</v>
      </c>
      <c r="J92" s="555">
        <f t="shared" si="61"/>
        <v>2725916.6399999997</v>
      </c>
      <c r="K92" s="56"/>
    </row>
    <row r="93" spans="1:11" ht="21" customHeight="1" x14ac:dyDescent="0.3">
      <c r="A93" s="123" t="s">
        <v>171</v>
      </c>
      <c r="B93" s="35">
        <v>1200000</v>
      </c>
      <c r="C93" s="35">
        <f t="shared" ref="C93:C97" si="62">SUM(D93+G93)</f>
        <v>1200000</v>
      </c>
      <c r="D93" s="35">
        <v>1200000</v>
      </c>
      <c r="E93" s="418">
        <f>SUM('ใบกัน 450'!I172)</f>
        <v>0</v>
      </c>
      <c r="F93" s="35">
        <f t="shared" ref="F93:F97" si="63">SUM(D93-E93)</f>
        <v>1200000</v>
      </c>
      <c r="G93" s="146">
        <v>0</v>
      </c>
      <c r="H93" s="418">
        <v>0</v>
      </c>
      <c r="I93" s="35">
        <f t="shared" ref="I93:I97" si="64">SUM(G93-H93)</f>
        <v>0</v>
      </c>
      <c r="J93" s="418">
        <f t="shared" ref="J93:J97" si="65">SUM(E93+H93)</f>
        <v>0</v>
      </c>
      <c r="K93" s="41"/>
    </row>
    <row r="94" spans="1:11" ht="21" customHeight="1" x14ac:dyDescent="0.3">
      <c r="A94" s="691" t="s">
        <v>172</v>
      </c>
      <c r="B94" s="684">
        <v>100000</v>
      </c>
      <c r="C94" s="684">
        <f t="shared" si="62"/>
        <v>100000</v>
      </c>
      <c r="D94" s="684">
        <v>100000</v>
      </c>
      <c r="E94" s="692">
        <f>SUM('ใบกัน 450'!J172)</f>
        <v>26438.639999999999</v>
      </c>
      <c r="F94" s="684">
        <f t="shared" si="63"/>
        <v>73561.36</v>
      </c>
      <c r="G94" s="686">
        <v>0</v>
      </c>
      <c r="H94" s="692">
        <v>0</v>
      </c>
      <c r="I94" s="684">
        <f t="shared" si="64"/>
        <v>0</v>
      </c>
      <c r="J94" s="692">
        <f t="shared" si="65"/>
        <v>26438.639999999999</v>
      </c>
      <c r="K94" s="41"/>
    </row>
    <row r="95" spans="1:11" ht="21" customHeight="1" x14ac:dyDescent="0.3">
      <c r="A95" s="691" t="s">
        <v>173</v>
      </c>
      <c r="B95" s="684">
        <f>64200+100000</f>
        <v>164200</v>
      </c>
      <c r="C95" s="684">
        <f t="shared" si="62"/>
        <v>164200</v>
      </c>
      <c r="D95" s="684">
        <f>64200+100000</f>
        <v>164200</v>
      </c>
      <c r="E95" s="692">
        <f>SUM('ใบกัน 450'!K172)</f>
        <v>64200</v>
      </c>
      <c r="F95" s="684">
        <f t="shared" si="63"/>
        <v>100000</v>
      </c>
      <c r="G95" s="686">
        <v>0</v>
      </c>
      <c r="H95" s="692">
        <v>0</v>
      </c>
      <c r="I95" s="684">
        <f t="shared" si="64"/>
        <v>0</v>
      </c>
      <c r="J95" s="692">
        <f t="shared" si="65"/>
        <v>64200</v>
      </c>
      <c r="K95" s="41"/>
    </row>
    <row r="96" spans="1:11" ht="21" customHeight="1" x14ac:dyDescent="0.3">
      <c r="A96" s="691" t="s">
        <v>174</v>
      </c>
      <c r="B96" s="684">
        <f>1500000-64200+100000</f>
        <v>1535800</v>
      </c>
      <c r="C96" s="684">
        <f t="shared" si="62"/>
        <v>1535800</v>
      </c>
      <c r="D96" s="684">
        <f>1460000-64200+100000</f>
        <v>1495800</v>
      </c>
      <c r="E96" s="692">
        <f>SUM('ใบกัน 450'!L172)</f>
        <v>1449950</v>
      </c>
      <c r="F96" s="684">
        <f t="shared" si="63"/>
        <v>45850</v>
      </c>
      <c r="G96" s="686">
        <v>40000</v>
      </c>
      <c r="H96" s="702">
        <v>40000</v>
      </c>
      <c r="I96" s="684">
        <f t="shared" si="64"/>
        <v>0</v>
      </c>
      <c r="J96" s="692">
        <f t="shared" si="65"/>
        <v>1489950</v>
      </c>
      <c r="K96" s="41"/>
    </row>
    <row r="97" spans="1:11" ht="21" customHeight="1" x14ac:dyDescent="0.3">
      <c r="A97" s="389" t="s">
        <v>175</v>
      </c>
      <c r="B97" s="48">
        <v>1100000</v>
      </c>
      <c r="C97" s="48">
        <f t="shared" si="62"/>
        <v>1100000</v>
      </c>
      <c r="D97" s="48">
        <v>1100000</v>
      </c>
      <c r="E97" s="552">
        <f>SUM('ใบกัน 450'!M172)</f>
        <v>1145328</v>
      </c>
      <c r="F97" s="48">
        <f t="shared" si="63"/>
        <v>-45328</v>
      </c>
      <c r="G97" s="147">
        <v>0</v>
      </c>
      <c r="H97" s="552">
        <v>0</v>
      </c>
      <c r="I97" s="48">
        <f t="shared" si="64"/>
        <v>0</v>
      </c>
      <c r="J97" s="552">
        <f t="shared" si="65"/>
        <v>1145328</v>
      </c>
      <c r="K97" s="41"/>
    </row>
    <row r="98" spans="1:11" ht="21" customHeight="1" x14ac:dyDescent="0.3">
      <c r="A98" s="52" t="s">
        <v>176</v>
      </c>
      <c r="B98" s="54">
        <f>SUM(B99)</f>
        <v>98524800</v>
      </c>
      <c r="C98" s="54">
        <f t="shared" ref="C98:J99" si="66">SUM(C99)</f>
        <v>98524800</v>
      </c>
      <c r="D98" s="54">
        <f t="shared" si="66"/>
        <v>98524800</v>
      </c>
      <c r="E98" s="555">
        <f t="shared" si="66"/>
        <v>0</v>
      </c>
      <c r="F98" s="54">
        <f t="shared" si="66"/>
        <v>98524800</v>
      </c>
      <c r="G98" s="54">
        <f t="shared" si="66"/>
        <v>0</v>
      </c>
      <c r="H98" s="555">
        <v>0</v>
      </c>
      <c r="I98" s="54">
        <f t="shared" si="66"/>
        <v>0</v>
      </c>
      <c r="J98" s="555">
        <f t="shared" si="66"/>
        <v>0</v>
      </c>
      <c r="K98" s="41"/>
    </row>
    <row r="99" spans="1:11" ht="21" customHeight="1" x14ac:dyDescent="0.3">
      <c r="A99" s="52" t="s">
        <v>177</v>
      </c>
      <c r="B99" s="54">
        <f t="shared" ref="B99:I99" si="67">SUM(B100)</f>
        <v>98524800</v>
      </c>
      <c r="C99" s="54">
        <f t="shared" si="67"/>
        <v>98524800</v>
      </c>
      <c r="D99" s="54">
        <f t="shared" si="67"/>
        <v>98524800</v>
      </c>
      <c r="E99" s="555">
        <f t="shared" si="67"/>
        <v>0</v>
      </c>
      <c r="F99" s="54">
        <f t="shared" si="67"/>
        <v>98524800</v>
      </c>
      <c r="G99" s="54">
        <f t="shared" si="67"/>
        <v>0</v>
      </c>
      <c r="H99" s="555">
        <f t="shared" ref="H99" si="68">SUM(H100)</f>
        <v>0</v>
      </c>
      <c r="I99" s="54">
        <f t="shared" si="67"/>
        <v>0</v>
      </c>
      <c r="J99" s="555">
        <f t="shared" si="66"/>
        <v>0</v>
      </c>
      <c r="K99" s="41"/>
    </row>
    <row r="100" spans="1:11" ht="21" customHeight="1" x14ac:dyDescent="0.3">
      <c r="A100" s="52" t="s">
        <v>178</v>
      </c>
      <c r="B100" s="54">
        <f>SUM(B101+B104+B108+B112+B116)</f>
        <v>98524800</v>
      </c>
      <c r="C100" s="54">
        <f>SUM(C101+C104+C108+C110+C112+C114+C116)</f>
        <v>98524800</v>
      </c>
      <c r="D100" s="54">
        <f>SUM(D101+D104+D108+D110+D112+D114+D116)</f>
        <v>98524800</v>
      </c>
      <c r="E100" s="555">
        <f>SUM(E101+E104+E108+E110+E112+E114+E116)</f>
        <v>0</v>
      </c>
      <c r="F100" s="54">
        <f>SUM(F101+F104+F108+F112+F114+F116)</f>
        <v>98524800</v>
      </c>
      <c r="G100" s="54">
        <f>SUM(G101+G104+G108+G110+G112+G116)</f>
        <v>0</v>
      </c>
      <c r="H100" s="555">
        <f t="shared" ref="H100" si="69">SUM(H101)</f>
        <v>0</v>
      </c>
      <c r="I100" s="54">
        <f>SUM(I101+I104+I108+I112+I116)</f>
        <v>0</v>
      </c>
      <c r="J100" s="555">
        <f>SUM(J101+J104+J108+J112+J116)</f>
        <v>0</v>
      </c>
      <c r="K100" s="41"/>
    </row>
    <row r="101" spans="1:11" ht="21" customHeight="1" x14ac:dyDescent="0.3">
      <c r="A101" s="403" t="s">
        <v>179</v>
      </c>
      <c r="B101" s="62">
        <f>SUM(B102:B103)</f>
        <v>5457000</v>
      </c>
      <c r="C101" s="62">
        <f t="shared" ref="C101:J101" si="70">SUM(C102:C103)</f>
        <v>5457000</v>
      </c>
      <c r="D101" s="62">
        <f t="shared" si="70"/>
        <v>5457000</v>
      </c>
      <c r="E101" s="62">
        <f t="shared" si="70"/>
        <v>0</v>
      </c>
      <c r="F101" s="62">
        <f t="shared" si="70"/>
        <v>5457000</v>
      </c>
      <c r="G101" s="62">
        <f t="shared" si="70"/>
        <v>0</v>
      </c>
      <c r="H101" s="62">
        <f>SUM(H102+H105+H109+H111+H117)</f>
        <v>0</v>
      </c>
      <c r="I101" s="62">
        <f t="shared" si="70"/>
        <v>0</v>
      </c>
      <c r="J101" s="62">
        <f t="shared" si="70"/>
        <v>0</v>
      </c>
      <c r="K101" s="41"/>
    </row>
    <row r="102" spans="1:11" ht="21" customHeight="1" x14ac:dyDescent="0.3">
      <c r="A102" s="123" t="s">
        <v>1267</v>
      </c>
      <c r="B102" s="35">
        <v>2675000</v>
      </c>
      <c r="C102" s="35">
        <f>SUM(D102+G102)</f>
        <v>2675000</v>
      </c>
      <c r="D102" s="35">
        <v>2675000</v>
      </c>
      <c r="E102" s="418"/>
      <c r="F102" s="35">
        <f>SUM(D102-E102)</f>
        <v>2675000</v>
      </c>
      <c r="G102" s="146"/>
      <c r="H102" s="418">
        <f t="shared" ref="H102" si="71">SUM(H104)</f>
        <v>0</v>
      </c>
      <c r="I102" s="35">
        <f>SUM(G102-H102)</f>
        <v>0</v>
      </c>
      <c r="J102" s="418">
        <f>SUM(E102+H102)</f>
        <v>0</v>
      </c>
      <c r="K102" s="41"/>
    </row>
    <row r="103" spans="1:11" ht="21" customHeight="1" x14ac:dyDescent="0.3">
      <c r="A103" s="691" t="s">
        <v>1268</v>
      </c>
      <c r="B103" s="684">
        <v>2782000</v>
      </c>
      <c r="C103" s="35">
        <f>SUM(D103+G103)</f>
        <v>2782000</v>
      </c>
      <c r="D103" s="684">
        <v>2782000</v>
      </c>
      <c r="E103" s="692"/>
      <c r="F103" s="35">
        <f>SUM(D103-E103)</f>
        <v>2782000</v>
      </c>
      <c r="G103" s="686"/>
      <c r="H103" s="692"/>
      <c r="I103" s="35">
        <f>SUM(G103-H103)</f>
        <v>0</v>
      </c>
      <c r="J103" s="418">
        <f>SUM(E103+H103)</f>
        <v>0</v>
      </c>
      <c r="K103" s="41"/>
    </row>
    <row r="104" spans="1:11" ht="21" customHeight="1" x14ac:dyDescent="0.3">
      <c r="A104" s="403" t="s">
        <v>180</v>
      </c>
      <c r="B104" s="62">
        <f t="shared" ref="B104:J104" si="72">SUM(B105:B107)</f>
        <v>81948600</v>
      </c>
      <c r="C104" s="62">
        <f t="shared" si="72"/>
        <v>81948600</v>
      </c>
      <c r="D104" s="62">
        <f>SUM(D105:D107)</f>
        <v>81948600</v>
      </c>
      <c r="E104" s="417">
        <f>SUM(E105:E107)</f>
        <v>0</v>
      </c>
      <c r="F104" s="62">
        <f t="shared" si="72"/>
        <v>81948600</v>
      </c>
      <c r="G104" s="62">
        <f t="shared" si="72"/>
        <v>0</v>
      </c>
      <c r="H104" s="417"/>
      <c r="I104" s="62">
        <f t="shared" si="72"/>
        <v>0</v>
      </c>
      <c r="J104" s="417">
        <f t="shared" si="72"/>
        <v>0</v>
      </c>
      <c r="K104" s="41"/>
    </row>
    <row r="105" spans="1:11" ht="41.25" customHeight="1" x14ac:dyDescent="0.3">
      <c r="A105" s="93" t="s">
        <v>1269</v>
      </c>
      <c r="B105" s="35">
        <v>69646000</v>
      </c>
      <c r="C105" s="35">
        <f>SUM(D105+G105)</f>
        <v>69646000</v>
      </c>
      <c r="D105" s="35">
        <v>69646000</v>
      </c>
      <c r="E105" s="418">
        <f>+'ใบกัน 600'!G125</f>
        <v>0</v>
      </c>
      <c r="F105" s="35">
        <f>SUM(D105-E105)</f>
        <v>69646000</v>
      </c>
      <c r="G105" s="146">
        <v>0</v>
      </c>
      <c r="H105" s="418">
        <f t="shared" ref="H105" si="73">SUM(H106:H108)</f>
        <v>0</v>
      </c>
      <c r="I105" s="35">
        <f>SUM(G105-H105)</f>
        <v>0</v>
      </c>
      <c r="J105" s="418">
        <f>SUM(E105+H105)</f>
        <v>0</v>
      </c>
      <c r="K105" s="41"/>
    </row>
    <row r="106" spans="1:11" ht="18.75" x14ac:dyDescent="0.3">
      <c r="A106" s="93" t="s">
        <v>1270</v>
      </c>
      <c r="B106" s="35">
        <v>6711000</v>
      </c>
      <c r="C106" s="35">
        <f>SUM(D106+G106)</f>
        <v>6711000</v>
      </c>
      <c r="D106" s="35">
        <v>6711000</v>
      </c>
      <c r="E106" s="418">
        <f>+'ใบกัน 600'!I124</f>
        <v>0</v>
      </c>
      <c r="F106" s="35">
        <f>SUM(D106-E106)</f>
        <v>6711000</v>
      </c>
      <c r="G106" s="146">
        <v>0</v>
      </c>
      <c r="H106" s="418">
        <v>0</v>
      </c>
      <c r="I106" s="35">
        <f>SUM(G106-H106)</f>
        <v>0</v>
      </c>
      <c r="J106" s="418">
        <f>SUM(E106+H106)</f>
        <v>0</v>
      </c>
      <c r="K106" s="41"/>
    </row>
    <row r="107" spans="1:11" ht="18.75" x14ac:dyDescent="0.3">
      <c r="A107" s="93" t="s">
        <v>1271</v>
      </c>
      <c r="B107" s="35">
        <v>5591600</v>
      </c>
      <c r="C107" s="35">
        <f>SUM(D107+G107)</f>
        <v>5591600</v>
      </c>
      <c r="D107" s="35">
        <v>5591600</v>
      </c>
      <c r="E107" s="418"/>
      <c r="F107" s="35">
        <f>SUM(D107-E107)</f>
        <v>5591600</v>
      </c>
      <c r="G107" s="146">
        <v>0</v>
      </c>
      <c r="H107" s="418">
        <v>0</v>
      </c>
      <c r="I107" s="35">
        <f>SUM(G107-H107)</f>
        <v>0</v>
      </c>
      <c r="J107" s="418">
        <f>SUM(E107+H107)</f>
        <v>0</v>
      </c>
      <c r="K107" s="41"/>
    </row>
    <row r="108" spans="1:11" ht="21" customHeight="1" x14ac:dyDescent="0.3">
      <c r="A108" s="403" t="s">
        <v>181</v>
      </c>
      <c r="B108" s="62"/>
      <c r="C108" s="62">
        <f t="shared" ref="C108:J108" si="74">SUM(C109)</f>
        <v>0</v>
      </c>
      <c r="D108" s="62">
        <f t="shared" si="74"/>
        <v>0</v>
      </c>
      <c r="E108" s="417">
        <f t="shared" si="74"/>
        <v>0</v>
      </c>
      <c r="F108" s="62">
        <f t="shared" si="74"/>
        <v>0</v>
      </c>
      <c r="G108" s="62">
        <f t="shared" si="74"/>
        <v>0</v>
      </c>
      <c r="H108" s="417">
        <v>0</v>
      </c>
      <c r="I108" s="62">
        <f t="shared" si="74"/>
        <v>0</v>
      </c>
      <c r="J108" s="417">
        <f t="shared" si="74"/>
        <v>0</v>
      </c>
      <c r="K108" s="41"/>
    </row>
    <row r="109" spans="1:11" ht="21" customHeight="1" x14ac:dyDescent="0.3">
      <c r="A109" s="123" t="s">
        <v>182</v>
      </c>
      <c r="B109" s="35"/>
      <c r="C109" s="35">
        <f>SUM(D109+G109)</f>
        <v>0</v>
      </c>
      <c r="D109" s="35"/>
      <c r="E109" s="418"/>
      <c r="F109" s="35">
        <f>SUM(D109-E109)</f>
        <v>0</v>
      </c>
      <c r="G109" s="146">
        <v>0</v>
      </c>
      <c r="H109" s="418">
        <f t="shared" ref="H109" si="75">SUM(H110)</f>
        <v>0</v>
      </c>
      <c r="I109" s="35">
        <f>SUM(G109-H109)</f>
        <v>0</v>
      </c>
      <c r="J109" s="418">
        <f>SUM(E109+H109)</f>
        <v>0</v>
      </c>
      <c r="K109" s="41"/>
    </row>
    <row r="110" spans="1:11" ht="21" customHeight="1" x14ac:dyDescent="0.3">
      <c r="A110" s="403" t="s">
        <v>183</v>
      </c>
      <c r="B110" s="62"/>
      <c r="C110" s="62">
        <f t="shared" ref="C110:J110" si="76">SUM(C111)</f>
        <v>0</v>
      </c>
      <c r="D110" s="62">
        <f t="shared" si="76"/>
        <v>0</v>
      </c>
      <c r="E110" s="417">
        <f t="shared" si="76"/>
        <v>0</v>
      </c>
      <c r="F110" s="62">
        <f t="shared" si="76"/>
        <v>0</v>
      </c>
      <c r="G110" s="62">
        <f t="shared" si="76"/>
        <v>0</v>
      </c>
      <c r="H110" s="417">
        <v>0</v>
      </c>
      <c r="I110" s="62">
        <f t="shared" si="76"/>
        <v>0</v>
      </c>
      <c r="J110" s="417">
        <f t="shared" si="76"/>
        <v>0</v>
      </c>
      <c r="K110" s="41"/>
    </row>
    <row r="111" spans="1:11" ht="21" customHeight="1" x14ac:dyDescent="0.3">
      <c r="A111" s="123" t="s">
        <v>184</v>
      </c>
      <c r="B111" s="35"/>
      <c r="C111" s="35">
        <f>SUM(D111+G111)</f>
        <v>0</v>
      </c>
      <c r="D111" s="35"/>
      <c r="E111" s="418"/>
      <c r="F111" s="35">
        <f>SUM(D111-E111)</f>
        <v>0</v>
      </c>
      <c r="G111" s="146">
        <v>0</v>
      </c>
      <c r="H111" s="418">
        <f t="shared" ref="H111" si="77">SUM(H112)</f>
        <v>0</v>
      </c>
      <c r="I111" s="35">
        <f>SUM(G111-H111)</f>
        <v>0</v>
      </c>
      <c r="J111" s="418">
        <f>SUM(E111+H111)</f>
        <v>0</v>
      </c>
      <c r="K111" s="41"/>
    </row>
    <row r="112" spans="1:11" ht="21" customHeight="1" x14ac:dyDescent="0.3">
      <c r="A112" s="403" t="s">
        <v>185</v>
      </c>
      <c r="B112" s="62"/>
      <c r="C112" s="62">
        <f t="shared" ref="C112:J112" si="78">SUM(C113)</f>
        <v>0</v>
      </c>
      <c r="D112" s="62">
        <f t="shared" si="78"/>
        <v>0</v>
      </c>
      <c r="E112" s="417">
        <f t="shared" si="78"/>
        <v>0</v>
      </c>
      <c r="F112" s="62">
        <f t="shared" si="78"/>
        <v>0</v>
      </c>
      <c r="G112" s="62">
        <f t="shared" si="78"/>
        <v>0</v>
      </c>
      <c r="H112" s="417">
        <v>0</v>
      </c>
      <c r="I112" s="62">
        <f t="shared" si="78"/>
        <v>0</v>
      </c>
      <c r="J112" s="417">
        <f t="shared" si="78"/>
        <v>0</v>
      </c>
      <c r="K112" s="41"/>
    </row>
    <row r="113" spans="1:11" ht="21" customHeight="1" x14ac:dyDescent="0.3">
      <c r="A113" s="123" t="s">
        <v>186</v>
      </c>
      <c r="B113" s="35"/>
      <c r="C113" s="35">
        <f>SUM(D113+G113)</f>
        <v>0</v>
      </c>
      <c r="D113" s="35"/>
      <c r="E113" s="418"/>
      <c r="F113" s="35">
        <f>SUM(D113-E113)</f>
        <v>0</v>
      </c>
      <c r="G113" s="146">
        <v>0</v>
      </c>
      <c r="H113" s="418">
        <f t="shared" ref="H113:H115" si="79">SUM(H114)</f>
        <v>0</v>
      </c>
      <c r="I113" s="35">
        <f>SUM(G113-H113)</f>
        <v>0</v>
      </c>
      <c r="J113" s="418">
        <f>SUM(E113+H113)</f>
        <v>0</v>
      </c>
      <c r="K113" s="41"/>
    </row>
    <row r="114" spans="1:11" ht="21" customHeight="1" x14ac:dyDescent="0.3">
      <c r="A114" s="403" t="s">
        <v>1191</v>
      </c>
      <c r="B114" s="62">
        <f t="shared" ref="B114:J114" si="80">SUM(B115)</f>
        <v>0</v>
      </c>
      <c r="C114" s="62">
        <f t="shared" si="80"/>
        <v>0</v>
      </c>
      <c r="D114" s="62">
        <f t="shared" si="80"/>
        <v>0</v>
      </c>
      <c r="E114" s="404">
        <f t="shared" si="80"/>
        <v>0</v>
      </c>
      <c r="F114" s="62">
        <f t="shared" si="80"/>
        <v>0</v>
      </c>
      <c r="G114" s="62">
        <f t="shared" si="80"/>
        <v>0</v>
      </c>
      <c r="H114" s="404">
        <v>0</v>
      </c>
      <c r="I114" s="62">
        <f t="shared" si="80"/>
        <v>0</v>
      </c>
      <c r="J114" s="404">
        <f t="shared" si="80"/>
        <v>0</v>
      </c>
      <c r="K114" s="41"/>
    </row>
    <row r="115" spans="1:11" ht="21" customHeight="1" x14ac:dyDescent="0.3">
      <c r="A115" s="123" t="s">
        <v>186</v>
      </c>
      <c r="B115" s="35">
        <v>0</v>
      </c>
      <c r="C115" s="35">
        <f>SUM(D115+G115)</f>
        <v>0</v>
      </c>
      <c r="D115" s="35"/>
      <c r="E115" s="405">
        <v>0</v>
      </c>
      <c r="F115" s="35">
        <f>SUM(D115-E115)</f>
        <v>0</v>
      </c>
      <c r="G115" s="146">
        <v>0</v>
      </c>
      <c r="H115" s="405">
        <f t="shared" si="79"/>
        <v>0</v>
      </c>
      <c r="I115" s="35">
        <f>SUM(G115-H115)</f>
        <v>0</v>
      </c>
      <c r="J115" s="405">
        <f>SUM(E115+H115)</f>
        <v>0</v>
      </c>
      <c r="K115" s="41"/>
    </row>
    <row r="116" spans="1:11" ht="21" customHeight="1" x14ac:dyDescent="0.3">
      <c r="A116" s="403" t="s">
        <v>1190</v>
      </c>
      <c r="B116" s="62">
        <f t="shared" ref="B116:J116" si="81">SUM(B117)</f>
        <v>11119200</v>
      </c>
      <c r="C116" s="62">
        <f t="shared" si="81"/>
        <v>11119200</v>
      </c>
      <c r="D116" s="62">
        <f t="shared" si="81"/>
        <v>11119200</v>
      </c>
      <c r="E116" s="62">
        <f t="shared" si="81"/>
        <v>0</v>
      </c>
      <c r="F116" s="62">
        <f t="shared" si="81"/>
        <v>11119200</v>
      </c>
      <c r="G116" s="62">
        <f t="shared" si="81"/>
        <v>0</v>
      </c>
      <c r="H116" s="62">
        <v>0</v>
      </c>
      <c r="I116" s="62">
        <f t="shared" si="81"/>
        <v>0</v>
      </c>
      <c r="J116" s="62">
        <f t="shared" si="81"/>
        <v>0</v>
      </c>
      <c r="K116" s="56"/>
    </row>
    <row r="117" spans="1:11" ht="21" customHeight="1" x14ac:dyDescent="0.3">
      <c r="A117" s="93" t="s">
        <v>1272</v>
      </c>
      <c r="B117" s="35">
        <v>11119200</v>
      </c>
      <c r="C117" s="35">
        <f>SUM(D117+G117)</f>
        <v>11119200</v>
      </c>
      <c r="D117" s="35">
        <v>11119200</v>
      </c>
      <c r="E117" s="418">
        <f>SUM('ใบกัน 600'!N125)</f>
        <v>0</v>
      </c>
      <c r="F117" s="35">
        <f>SUM(D117-E117)</f>
        <v>11119200</v>
      </c>
      <c r="G117" s="146"/>
      <c r="H117" s="418">
        <f t="shared" ref="H117" si="82">SUM(H118)</f>
        <v>0</v>
      </c>
      <c r="I117" s="35">
        <f>SUM(G117-H117)</f>
        <v>0</v>
      </c>
      <c r="J117" s="418">
        <f>SUM(E117+H117)</f>
        <v>0</v>
      </c>
      <c r="K117" s="41"/>
    </row>
    <row r="118" spans="1:11" ht="21" customHeight="1" x14ac:dyDescent="0.3">
      <c r="A118" s="52" t="s">
        <v>187</v>
      </c>
      <c r="B118" s="54">
        <f t="shared" ref="B118:J118" si="83">SUM(B119+B128)</f>
        <v>176547800</v>
      </c>
      <c r="C118" s="54">
        <f t="shared" si="83"/>
        <v>159908100</v>
      </c>
      <c r="D118" s="54">
        <f t="shared" si="83"/>
        <v>159908100</v>
      </c>
      <c r="E118" s="555">
        <f t="shared" si="83"/>
        <v>129685026.97</v>
      </c>
      <c r="F118" s="54">
        <f t="shared" si="83"/>
        <v>30223073.030000001</v>
      </c>
      <c r="G118" s="54">
        <f t="shared" si="83"/>
        <v>0</v>
      </c>
      <c r="H118" s="555"/>
      <c r="I118" s="54">
        <f t="shared" si="83"/>
        <v>0</v>
      </c>
      <c r="J118" s="555">
        <f t="shared" si="83"/>
        <v>129685026.97</v>
      </c>
      <c r="K118" s="41"/>
    </row>
    <row r="119" spans="1:11" ht="21" customHeight="1" x14ac:dyDescent="0.3">
      <c r="A119" s="52" t="s">
        <v>188</v>
      </c>
      <c r="B119" s="54">
        <f t="shared" ref="B119:J119" si="84">SUM(B120)</f>
        <v>48976800</v>
      </c>
      <c r="C119" s="54">
        <f t="shared" si="84"/>
        <v>32337100</v>
      </c>
      <c r="D119" s="54">
        <f t="shared" si="84"/>
        <v>32337100</v>
      </c>
      <c r="E119" s="555">
        <f t="shared" si="84"/>
        <v>2183026.9699999997</v>
      </c>
      <c r="F119" s="54">
        <f t="shared" si="84"/>
        <v>30154073.030000001</v>
      </c>
      <c r="G119" s="54">
        <f t="shared" si="84"/>
        <v>0</v>
      </c>
      <c r="H119" s="555">
        <f t="shared" ref="H119" si="85">SUM(H120+H129)</f>
        <v>0</v>
      </c>
      <c r="I119" s="54">
        <f t="shared" si="84"/>
        <v>0</v>
      </c>
      <c r="J119" s="555">
        <f t="shared" si="84"/>
        <v>2183026.9699999997</v>
      </c>
      <c r="K119" s="41"/>
    </row>
    <row r="120" spans="1:11" ht="18.75" x14ac:dyDescent="0.3">
      <c r="A120" s="403" t="s">
        <v>131</v>
      </c>
      <c r="B120" s="62">
        <f t="shared" ref="B120:J120" si="86">SUM(B121:B127)</f>
        <v>48976800</v>
      </c>
      <c r="C120" s="62">
        <f t="shared" si="86"/>
        <v>32337100</v>
      </c>
      <c r="D120" s="62">
        <f t="shared" si="86"/>
        <v>32337100</v>
      </c>
      <c r="E120" s="417">
        <f t="shared" si="86"/>
        <v>2183026.9699999997</v>
      </c>
      <c r="F120" s="62">
        <f t="shared" si="86"/>
        <v>30154073.030000001</v>
      </c>
      <c r="G120" s="62">
        <f t="shared" si="86"/>
        <v>0</v>
      </c>
      <c r="H120" s="417">
        <f t="shared" ref="H120" si="87">SUM(H121)</f>
        <v>0</v>
      </c>
      <c r="I120" s="62">
        <f t="shared" si="86"/>
        <v>0</v>
      </c>
      <c r="J120" s="417">
        <f t="shared" si="86"/>
        <v>2183026.9699999997</v>
      </c>
      <c r="K120" s="41"/>
    </row>
    <row r="121" spans="1:11" ht="37.5" x14ac:dyDescent="0.3">
      <c r="A121" s="93" t="s">
        <v>189</v>
      </c>
      <c r="B121" s="35">
        <v>1286000</v>
      </c>
      <c r="C121" s="35">
        <f t="shared" ref="C121:C127" si="88">SUM(D121+G121)</f>
        <v>0</v>
      </c>
      <c r="D121" s="35">
        <v>0</v>
      </c>
      <c r="E121" s="418">
        <f>+'ใบกัน 900-ดำเนินงาน'!E202</f>
        <v>0</v>
      </c>
      <c r="F121" s="35">
        <f t="shared" ref="F121:F127" si="89">SUM(D121-E121)</f>
        <v>0</v>
      </c>
      <c r="G121" s="146"/>
      <c r="H121" s="418">
        <f t="shared" ref="H121" si="90">SUM(H122:H128)</f>
        <v>0</v>
      </c>
      <c r="I121" s="35">
        <f t="shared" ref="I121:I127" si="91">SUM(G121-H121)</f>
        <v>0</v>
      </c>
      <c r="J121" s="418">
        <f t="shared" ref="J121:J127" si="92">SUM(E121+H121)</f>
        <v>0</v>
      </c>
      <c r="K121" s="41"/>
    </row>
    <row r="122" spans="1:11" ht="18.75" x14ac:dyDescent="0.3">
      <c r="A122" s="93" t="s">
        <v>190</v>
      </c>
      <c r="B122" s="35">
        <v>950000</v>
      </c>
      <c r="C122" s="35">
        <f t="shared" si="88"/>
        <v>474800</v>
      </c>
      <c r="D122" s="35">
        <v>474800</v>
      </c>
      <c r="E122" s="418">
        <f>+'ใบกัน 900-ดำเนินงาน'!F202</f>
        <v>28000</v>
      </c>
      <c r="F122" s="35">
        <f t="shared" si="89"/>
        <v>446800</v>
      </c>
      <c r="G122" s="146"/>
      <c r="H122" s="418"/>
      <c r="I122" s="35">
        <f t="shared" si="91"/>
        <v>0</v>
      </c>
      <c r="J122" s="418">
        <f t="shared" si="92"/>
        <v>28000</v>
      </c>
      <c r="K122" s="41"/>
    </row>
    <row r="123" spans="1:11" ht="18.75" x14ac:dyDescent="0.3">
      <c r="A123" s="93" t="s">
        <v>191</v>
      </c>
      <c r="B123" s="35">
        <v>500000</v>
      </c>
      <c r="C123" s="35">
        <f t="shared" si="88"/>
        <v>335000</v>
      </c>
      <c r="D123" s="35">
        <v>335000</v>
      </c>
      <c r="E123" s="418">
        <f>+'ใบกัน 900-ดำเนินงาน'!G202</f>
        <v>70200</v>
      </c>
      <c r="F123" s="35">
        <f t="shared" si="89"/>
        <v>264800</v>
      </c>
      <c r="G123" s="146"/>
      <c r="H123" s="418"/>
      <c r="I123" s="35">
        <f t="shared" si="91"/>
        <v>0</v>
      </c>
      <c r="J123" s="418">
        <f t="shared" si="92"/>
        <v>70200</v>
      </c>
      <c r="K123" s="41"/>
    </row>
    <row r="124" spans="1:11" ht="18.75" x14ac:dyDescent="0.3">
      <c r="A124" s="93" t="s">
        <v>192</v>
      </c>
      <c r="B124" s="35">
        <v>500000</v>
      </c>
      <c r="C124" s="35">
        <f t="shared" si="88"/>
        <v>25000</v>
      </c>
      <c r="D124" s="35">
        <v>25000</v>
      </c>
      <c r="E124" s="418">
        <f>+'ใบกัน 900-ดำเนินงาน'!H202</f>
        <v>0</v>
      </c>
      <c r="F124" s="35">
        <f t="shared" si="89"/>
        <v>25000</v>
      </c>
      <c r="G124" s="146"/>
      <c r="H124" s="418"/>
      <c r="I124" s="35">
        <f t="shared" si="91"/>
        <v>0</v>
      </c>
      <c r="J124" s="418">
        <f t="shared" si="92"/>
        <v>0</v>
      </c>
      <c r="K124" s="41"/>
    </row>
    <row r="125" spans="1:11" ht="37.5" x14ac:dyDescent="0.3">
      <c r="A125" s="683" t="s">
        <v>193</v>
      </c>
      <c r="B125" s="684">
        <v>300000</v>
      </c>
      <c r="C125" s="684">
        <f t="shared" si="88"/>
        <v>124000</v>
      </c>
      <c r="D125" s="684">
        <v>124000</v>
      </c>
      <c r="E125" s="692">
        <f>+'ใบกัน 900-ดำเนินงาน'!I202</f>
        <v>0</v>
      </c>
      <c r="F125" s="684">
        <f t="shared" si="89"/>
        <v>124000</v>
      </c>
      <c r="G125" s="686"/>
      <c r="H125" s="692"/>
      <c r="I125" s="684">
        <f t="shared" si="91"/>
        <v>0</v>
      </c>
      <c r="J125" s="692">
        <f t="shared" si="92"/>
        <v>0</v>
      </c>
      <c r="K125" s="41"/>
    </row>
    <row r="126" spans="1:11" ht="37.5" x14ac:dyDescent="0.3">
      <c r="A126" s="687" t="s">
        <v>194</v>
      </c>
      <c r="B126" s="688">
        <v>1154500</v>
      </c>
      <c r="C126" s="688">
        <f t="shared" si="88"/>
        <v>577300</v>
      </c>
      <c r="D126" s="688">
        <v>577300</v>
      </c>
      <c r="E126" s="701">
        <f>+'ใบกัน 900-ดำเนินงาน'!J202</f>
        <v>464000</v>
      </c>
      <c r="F126" s="688">
        <f t="shared" si="89"/>
        <v>113300</v>
      </c>
      <c r="G126" s="690"/>
      <c r="H126" s="701"/>
      <c r="I126" s="688">
        <f t="shared" si="91"/>
        <v>0</v>
      </c>
      <c r="J126" s="701">
        <f t="shared" si="92"/>
        <v>464000</v>
      </c>
      <c r="K126" s="41"/>
    </row>
    <row r="127" spans="1:11" ht="37.5" x14ac:dyDescent="0.3">
      <c r="A127" s="93" t="s">
        <v>195</v>
      </c>
      <c r="B127" s="35">
        <v>44286300</v>
      </c>
      <c r="C127" s="35">
        <f t="shared" si="88"/>
        <v>30801000</v>
      </c>
      <c r="D127" s="35">
        <v>30801000</v>
      </c>
      <c r="E127" s="418">
        <f>'ใบกัน 900-ดำเนินงาน'!K202</f>
        <v>1620826.97</v>
      </c>
      <c r="F127" s="35">
        <f t="shared" si="89"/>
        <v>29180173.030000001</v>
      </c>
      <c r="G127" s="146"/>
      <c r="H127" s="418"/>
      <c r="I127" s="35">
        <f t="shared" si="91"/>
        <v>0</v>
      </c>
      <c r="J127" s="418">
        <f t="shared" si="92"/>
        <v>1620826.97</v>
      </c>
      <c r="K127" s="41"/>
    </row>
    <row r="128" spans="1:11" s="991" customFormat="1" ht="21" customHeight="1" x14ac:dyDescent="0.3">
      <c r="A128" s="988" t="s">
        <v>52</v>
      </c>
      <c r="B128" s="989">
        <f>SUM(B129:B134)</f>
        <v>127571000</v>
      </c>
      <c r="C128" s="989">
        <f t="shared" ref="C128:J128" si="93">SUM(C129:C134)</f>
        <v>127571000</v>
      </c>
      <c r="D128" s="989">
        <f>SUM(D129:D133)</f>
        <v>127571000</v>
      </c>
      <c r="E128" s="989">
        <f>SUM(E129:E134)</f>
        <v>127502000</v>
      </c>
      <c r="F128" s="989">
        <f t="shared" si="93"/>
        <v>69000</v>
      </c>
      <c r="G128" s="989">
        <f t="shared" si="93"/>
        <v>0</v>
      </c>
      <c r="H128" s="989"/>
      <c r="I128" s="989">
        <f t="shared" si="93"/>
        <v>0</v>
      </c>
      <c r="J128" s="989">
        <f t="shared" si="93"/>
        <v>127502000</v>
      </c>
      <c r="K128" s="990"/>
    </row>
    <row r="129" spans="1:11" ht="18.75" x14ac:dyDescent="0.3">
      <c r="A129" s="93" t="s">
        <v>1273</v>
      </c>
      <c r="B129" s="35">
        <v>69000</v>
      </c>
      <c r="C129" s="35">
        <f>SUM(D129+G129)</f>
        <v>69000</v>
      </c>
      <c r="D129" s="35">
        <v>69000</v>
      </c>
      <c r="E129" s="418">
        <f>'ใบกัน 900-ลงทุน'!E130</f>
        <v>0</v>
      </c>
      <c r="F129" s="35">
        <f>SUM(D129-E129)</f>
        <v>69000</v>
      </c>
      <c r="G129" s="146">
        <v>0</v>
      </c>
      <c r="H129" s="418">
        <f t="shared" ref="H129" si="94">SUM(H130:H134)</f>
        <v>0</v>
      </c>
      <c r="I129" s="35">
        <f>SUM(G129-H129)</f>
        <v>0</v>
      </c>
      <c r="J129" s="418">
        <f>SUM(E129+H129)</f>
        <v>0</v>
      </c>
      <c r="K129" s="41"/>
    </row>
    <row r="130" spans="1:11" ht="18.75" x14ac:dyDescent="0.3">
      <c r="A130" s="93" t="s">
        <v>1274</v>
      </c>
      <c r="B130" s="35">
        <v>4342000</v>
      </c>
      <c r="C130" s="35">
        <f>SUM(D130+G130)</f>
        <v>4342000</v>
      </c>
      <c r="D130" s="35">
        <v>4342000</v>
      </c>
      <c r="E130" s="418">
        <v>4342000</v>
      </c>
      <c r="F130" s="35">
        <f>SUM(D130-E130)</f>
        <v>0</v>
      </c>
      <c r="G130" s="146">
        <v>0</v>
      </c>
      <c r="H130" s="418">
        <v>0</v>
      </c>
      <c r="I130" s="35">
        <f>SUM(G130-H130)</f>
        <v>0</v>
      </c>
      <c r="J130" s="418">
        <f>SUM(E130+H130)</f>
        <v>4342000</v>
      </c>
      <c r="K130" s="41"/>
    </row>
    <row r="131" spans="1:11" ht="37.5" x14ac:dyDescent="0.3">
      <c r="A131" s="93" t="s">
        <v>1427</v>
      </c>
      <c r="B131" s="35">
        <v>16500000</v>
      </c>
      <c r="C131" s="35">
        <f>SUM(D131+G131)</f>
        <v>16500000</v>
      </c>
      <c r="D131" s="35">
        <v>16500000</v>
      </c>
      <c r="E131" s="418">
        <v>16500000</v>
      </c>
      <c r="F131" s="35">
        <f>SUM(D131-E131)</f>
        <v>0</v>
      </c>
      <c r="G131" s="146">
        <v>0</v>
      </c>
      <c r="H131" s="418">
        <v>0</v>
      </c>
      <c r="I131" s="35">
        <f>SUM(G131-H131)</f>
        <v>0</v>
      </c>
      <c r="J131" s="418">
        <f>SUM(E131+H131)</f>
        <v>16500000</v>
      </c>
      <c r="K131" s="41"/>
    </row>
    <row r="132" spans="1:11" ht="37.5" x14ac:dyDescent="0.3">
      <c r="A132" s="93" t="s">
        <v>1428</v>
      </c>
      <c r="B132" s="35">
        <v>25270000</v>
      </c>
      <c r="C132" s="35">
        <f>SUM(D132+G132)</f>
        <v>25270000</v>
      </c>
      <c r="D132" s="35">
        <v>25270000</v>
      </c>
      <c r="E132" s="418">
        <v>25270000</v>
      </c>
      <c r="F132" s="35">
        <f>SUM(D132-E132)</f>
        <v>0</v>
      </c>
      <c r="G132" s="146">
        <v>0</v>
      </c>
      <c r="H132" s="418">
        <v>0</v>
      </c>
      <c r="I132" s="35"/>
      <c r="J132" s="418">
        <f>SUM(E132+H132)</f>
        <v>25270000</v>
      </c>
      <c r="K132" s="41"/>
    </row>
    <row r="133" spans="1:11" ht="37.5" x14ac:dyDescent="0.3">
      <c r="A133" s="93" t="s">
        <v>1429</v>
      </c>
      <c r="B133" s="35">
        <v>81390000</v>
      </c>
      <c r="C133" s="35">
        <f>SUM(D133+G133)</f>
        <v>81390000</v>
      </c>
      <c r="D133" s="35">
        <v>81390000</v>
      </c>
      <c r="E133" s="418">
        <v>81390000</v>
      </c>
      <c r="F133" s="35">
        <f>SUM(D133-E133)</f>
        <v>0</v>
      </c>
      <c r="G133" s="146">
        <v>0</v>
      </c>
      <c r="H133" s="418">
        <v>0</v>
      </c>
      <c r="I133" s="35">
        <f>SUM(G133-H133)</f>
        <v>0</v>
      </c>
      <c r="J133" s="418">
        <f>SUM(E133+H133)</f>
        <v>81390000</v>
      </c>
      <c r="K133" s="41"/>
    </row>
    <row r="134" spans="1:11" ht="18.75" hidden="1" customHeight="1" x14ac:dyDescent="0.3">
      <c r="A134" s="123"/>
      <c r="B134" s="35"/>
      <c r="C134" s="35"/>
      <c r="D134" s="35">
        <v>16500000</v>
      </c>
      <c r="E134" s="418"/>
      <c r="F134" s="35"/>
      <c r="G134" s="557"/>
      <c r="H134" s="418">
        <v>0</v>
      </c>
      <c r="I134" s="558"/>
      <c r="J134" s="559"/>
      <c r="K134" s="41"/>
    </row>
    <row r="135" spans="1:11" ht="21" hidden="1" customHeight="1" x14ac:dyDescent="0.3">
      <c r="A135" s="52" t="s">
        <v>196</v>
      </c>
      <c r="B135" s="54">
        <f t="shared" ref="B135:J135" si="95">SUM(B136:B137)</f>
        <v>0</v>
      </c>
      <c r="C135" s="54">
        <f t="shared" si="95"/>
        <v>81390000</v>
      </c>
      <c r="D135" s="54">
        <v>25270000</v>
      </c>
      <c r="E135" s="555">
        <f t="shared" si="95"/>
        <v>0</v>
      </c>
      <c r="F135" s="54">
        <f t="shared" si="95"/>
        <v>81390000</v>
      </c>
      <c r="G135" s="54">
        <f t="shared" si="95"/>
        <v>0</v>
      </c>
      <c r="H135" s="555">
        <f t="shared" si="95"/>
        <v>0</v>
      </c>
      <c r="I135" s="54">
        <f t="shared" si="95"/>
        <v>0</v>
      </c>
      <c r="J135" s="555">
        <f t="shared" si="95"/>
        <v>0</v>
      </c>
    </row>
    <row r="136" spans="1:11" ht="21" hidden="1" customHeight="1" x14ac:dyDescent="0.3">
      <c r="A136" s="123" t="s">
        <v>197</v>
      </c>
      <c r="B136" s="35">
        <v>0</v>
      </c>
      <c r="C136" s="35">
        <f>SUM(D136+G136)</f>
        <v>81390000</v>
      </c>
      <c r="D136" s="35">
        <v>81390000</v>
      </c>
      <c r="E136" s="418">
        <v>0</v>
      </c>
      <c r="F136" s="35">
        <f>SUM(D136-E136)</f>
        <v>81390000</v>
      </c>
      <c r="G136" s="146">
        <v>0</v>
      </c>
      <c r="H136" s="418">
        <v>0</v>
      </c>
      <c r="I136" s="418">
        <v>0</v>
      </c>
      <c r="J136" s="418">
        <f>SUM(E136+H136)</f>
        <v>0</v>
      </c>
    </row>
    <row r="137" spans="1:11" ht="21" hidden="1" customHeight="1" x14ac:dyDescent="0.3">
      <c r="A137" s="123" t="s">
        <v>198</v>
      </c>
      <c r="B137" s="35">
        <v>0</v>
      </c>
      <c r="C137" s="35">
        <f>SUM(D137+G137)</f>
        <v>0</v>
      </c>
      <c r="D137" s="35">
        <f>910600-910600</f>
        <v>0</v>
      </c>
      <c r="E137" s="418">
        <v>0</v>
      </c>
      <c r="F137" s="35">
        <f>SUM(D137-E137)</f>
        <v>0</v>
      </c>
      <c r="G137" s="146">
        <v>0</v>
      </c>
      <c r="H137" s="418">
        <v>0</v>
      </c>
      <c r="I137" s="418">
        <v>0</v>
      </c>
      <c r="J137" s="418">
        <f>SUM(E137+H137)</f>
        <v>0</v>
      </c>
    </row>
    <row r="138" spans="1:11" ht="21" customHeight="1" x14ac:dyDescent="0.3">
      <c r="A138" s="389"/>
      <c r="B138" s="48"/>
      <c r="C138" s="48"/>
      <c r="D138" s="48"/>
      <c r="E138" s="552"/>
      <c r="F138" s="48"/>
      <c r="G138" s="147"/>
      <c r="H138" s="552"/>
      <c r="I138" s="389"/>
      <c r="J138" s="560"/>
    </row>
    <row r="139" spans="1:11" ht="21" customHeight="1" x14ac:dyDescent="0.3">
      <c r="A139" s="41" t="s">
        <v>37</v>
      </c>
      <c r="B139" s="41"/>
      <c r="C139" s="41"/>
      <c r="D139" s="41"/>
      <c r="E139" s="101"/>
      <c r="F139" s="41"/>
      <c r="G139" s="41"/>
      <c r="H139" s="544"/>
      <c r="I139" s="41"/>
      <c r="J139" s="101"/>
    </row>
    <row r="140" spans="1:11" ht="21" customHeight="1" x14ac:dyDescent="0.3">
      <c r="A140" s="41" t="s">
        <v>1187</v>
      </c>
      <c r="B140" s="41"/>
      <c r="C140" s="41"/>
      <c r="D140" s="41"/>
      <c r="E140" s="561"/>
      <c r="F140" s="41"/>
      <c r="G140" s="41"/>
      <c r="H140" s="544"/>
      <c r="I140" s="41"/>
      <c r="J140" s="101"/>
    </row>
  </sheetData>
  <mergeCells count="3">
    <mergeCell ref="A1:J1"/>
    <mergeCell ref="D3:F3"/>
    <mergeCell ref="G3:I3"/>
  </mergeCells>
  <conditionalFormatting sqref="A24:Z25 A27:Z29 A31:Z32 K22:Z22 A22:E23 J23:Z23 G23:H23 G22">
    <cfRule type="cellIs" dxfId="716" priority="10" operator="lessThan">
      <formula>0</formula>
    </cfRule>
  </conditionalFormatting>
  <conditionalFormatting sqref="A1:Z9 A12:Z12 A10:B11 E10:Z11 J22 A17:E21 J17:Z21 G17:H21 A16:Z16 A13:E15 G13:H15 J13:Z15">
    <cfRule type="cellIs" dxfId="715" priority="7" operator="lessThan">
      <formula>0</formula>
    </cfRule>
  </conditionalFormatting>
  <conditionalFormatting sqref="I21:I23">
    <cfRule type="cellIs" dxfId="714" priority="6" operator="lessThan">
      <formula>0</formula>
    </cfRule>
  </conditionalFormatting>
  <conditionalFormatting sqref="F21:F23">
    <cfRule type="cellIs" dxfId="713" priority="5" operator="lessThan">
      <formula>0</formula>
    </cfRule>
  </conditionalFormatting>
  <conditionalFormatting sqref="I17:I20">
    <cfRule type="cellIs" dxfId="712" priority="4" operator="lessThan">
      <formula>0</formula>
    </cfRule>
  </conditionalFormatting>
  <conditionalFormatting sqref="F17:F20">
    <cfRule type="cellIs" dxfId="711" priority="3" operator="lessThan">
      <formula>0</formula>
    </cfRule>
  </conditionalFormatting>
  <conditionalFormatting sqref="F13:F15">
    <cfRule type="cellIs" dxfId="710" priority="2" operator="lessThan">
      <formula>0</formula>
    </cfRule>
  </conditionalFormatting>
  <conditionalFormatting sqref="I13:I15">
    <cfRule type="cellIs" dxfId="709" priority="1" operator="lessThan">
      <formula>0</formula>
    </cfRule>
  </conditionalFormatting>
  <printOptions horizontalCentered="1"/>
  <pageMargins left="0" right="0" top="0.39370078740157483" bottom="0.39370078740157483" header="0" footer="0"/>
  <pageSetup paperSize="9" scale="64" orientation="landscape" r:id="rId1"/>
  <headerFooter>
    <oddHeader>&amp;Rหน้าที่ &amp;P / &amp;N</oddHeader>
  </headerFooter>
  <rowBreaks count="3" manualBreakCount="3">
    <brk id="32" max="1" man="1"/>
    <brk id="91" max="1" man="1"/>
    <brk id="126" max="1" man="1"/>
  </rowBreaks>
  <colBreaks count="2" manualBreakCount="2">
    <brk id="10" max="1048575" man="1"/>
    <brk id="1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L113"/>
  <sheetViews>
    <sheetView zoomScale="115" zoomScaleNormal="115" workbookViewId="0">
      <pane xSplit="4" ySplit="5" topLeftCell="E30" activePane="bottomRight" state="frozen"/>
      <selection activeCell="E13" sqref="E13"/>
      <selection pane="topRight" activeCell="E13" sqref="E13"/>
      <selection pane="bottomLeft" activeCell="E13" sqref="E13"/>
      <selection pane="bottomRight" activeCell="H37" sqref="H37"/>
    </sheetView>
  </sheetViews>
  <sheetFormatPr defaultColWidth="14.42578125" defaultRowHeight="15" customHeight="1" x14ac:dyDescent="0.3"/>
  <cols>
    <col min="1" max="1" width="11.28515625" style="714" customWidth="1"/>
    <col min="2" max="2" width="16" style="1012" customWidth="1"/>
    <col min="3" max="3" width="11" style="1012" customWidth="1"/>
    <col min="4" max="4" width="37.5703125" style="1012" customWidth="1"/>
    <col min="5" max="11" width="16.85546875" style="1012" customWidth="1"/>
    <col min="12" max="12" width="16.85546875" style="721" customWidth="1"/>
    <col min="13" max="18" width="8.7109375" style="1012" customWidth="1"/>
    <col min="19" max="16384" width="14.42578125" style="1012"/>
  </cols>
  <sheetData>
    <row r="1" spans="1:12" ht="18.75" customHeight="1" x14ac:dyDescent="0.3">
      <c r="A1" s="706"/>
      <c r="B1" s="523"/>
      <c r="C1" s="523"/>
      <c r="D1" s="723" t="s">
        <v>1210</v>
      </c>
      <c r="E1" s="524"/>
      <c r="F1" s="524"/>
      <c r="G1" s="524"/>
      <c r="H1" s="1213" t="s">
        <v>1202</v>
      </c>
      <c r="I1" s="1214"/>
      <c r="J1" s="1214"/>
      <c r="K1" s="1214"/>
      <c r="L1" s="776"/>
    </row>
    <row r="2" spans="1:12" ht="56.25" x14ac:dyDescent="0.3">
      <c r="A2" s="707" t="s">
        <v>201</v>
      </c>
      <c r="B2" s="704" t="s">
        <v>202</v>
      </c>
      <c r="C2" s="704" t="s">
        <v>1198</v>
      </c>
      <c r="D2" s="704" t="s">
        <v>77</v>
      </c>
      <c r="E2" s="1014" t="s">
        <v>204</v>
      </c>
      <c r="F2" s="705" t="s">
        <v>205</v>
      </c>
      <c r="G2" s="1015" t="s">
        <v>206</v>
      </c>
      <c r="H2" s="864" t="s">
        <v>1200</v>
      </c>
      <c r="I2" s="1016" t="s">
        <v>1201</v>
      </c>
      <c r="J2" s="864" t="s">
        <v>207</v>
      </c>
      <c r="K2" s="864" t="s">
        <v>1199</v>
      </c>
      <c r="L2" s="1017" t="s">
        <v>208</v>
      </c>
    </row>
    <row r="3" spans="1:12" s="721" customFormat="1" ht="18.75" customHeight="1" x14ac:dyDescent="0.3">
      <c r="A3" s="816"/>
      <c r="B3" s="817"/>
      <c r="C3" s="817"/>
      <c r="D3" s="818" t="s">
        <v>209</v>
      </c>
      <c r="E3" s="819">
        <v>0</v>
      </c>
      <c r="F3" s="819">
        <v>0</v>
      </c>
      <c r="G3" s="819">
        <v>0</v>
      </c>
      <c r="H3" s="819">
        <v>0</v>
      </c>
      <c r="I3" s="819">
        <v>0</v>
      </c>
      <c r="J3" s="819">
        <v>0</v>
      </c>
      <c r="K3" s="820">
        <v>0</v>
      </c>
      <c r="L3" s="821">
        <f>SUM(E3:K3)</f>
        <v>0</v>
      </c>
    </row>
    <row r="4" spans="1:12" s="721" customFormat="1" ht="18.75" customHeight="1" x14ac:dyDescent="0.3">
      <c r="A4" s="822"/>
      <c r="B4" s="823"/>
      <c r="C4" s="823"/>
      <c r="D4" s="800" t="s">
        <v>1203</v>
      </c>
      <c r="E4" s="824">
        <v>58450200</v>
      </c>
      <c r="F4" s="824">
        <v>1450800</v>
      </c>
      <c r="G4" s="824">
        <v>2157000</v>
      </c>
      <c r="H4" s="824">
        <v>1386000</v>
      </c>
      <c r="I4" s="824">
        <v>2136000</v>
      </c>
      <c r="J4" s="824">
        <v>135000</v>
      </c>
      <c r="K4" s="824">
        <v>0</v>
      </c>
      <c r="L4" s="824">
        <f>SUM(E4:K4)</f>
        <v>65715000</v>
      </c>
    </row>
    <row r="5" spans="1:12" s="721" customFormat="1" ht="18.75" customHeight="1" x14ac:dyDescent="0.3">
      <c r="A5" s="825"/>
      <c r="B5" s="826"/>
      <c r="C5" s="826"/>
      <c r="D5" s="827" t="s">
        <v>211</v>
      </c>
      <c r="E5" s="828"/>
      <c r="F5" s="829"/>
      <c r="G5" s="830"/>
      <c r="H5" s="829"/>
      <c r="I5" s="830"/>
      <c r="J5" s="829"/>
      <c r="K5" s="829"/>
      <c r="L5" s="831"/>
    </row>
    <row r="6" spans="1:12" ht="18.75" customHeight="1" x14ac:dyDescent="0.3">
      <c r="A6" s="832" t="s">
        <v>212</v>
      </c>
      <c r="B6" s="833"/>
      <c r="C6" s="833"/>
      <c r="D6" s="834"/>
      <c r="E6" s="835"/>
      <c r="F6" s="836"/>
      <c r="G6" s="837"/>
      <c r="H6" s="836"/>
      <c r="I6" s="837"/>
      <c r="J6" s="836"/>
      <c r="K6" s="836"/>
      <c r="L6" s="838"/>
    </row>
    <row r="7" spans="1:12" ht="18.75" customHeight="1" x14ac:dyDescent="0.3">
      <c r="A7" s="839">
        <v>45591</v>
      </c>
      <c r="B7" s="840"/>
      <c r="C7" s="840"/>
      <c r="D7" s="683"/>
      <c r="E7" s="841">
        <v>10342965.16</v>
      </c>
      <c r="F7" s="842">
        <v>237860</v>
      </c>
      <c r="G7" s="843">
        <v>453842.36</v>
      </c>
      <c r="H7" s="842">
        <v>231330</v>
      </c>
      <c r="I7" s="843">
        <v>384868.17</v>
      </c>
      <c r="J7" s="842">
        <v>30000</v>
      </c>
      <c r="K7" s="842"/>
      <c r="L7" s="844">
        <f>SUM(E7:K7)</f>
        <v>11680865.689999999</v>
      </c>
    </row>
    <row r="8" spans="1:12" ht="18.75" customHeight="1" x14ac:dyDescent="0.3">
      <c r="A8" s="839"/>
      <c r="B8" s="840"/>
      <c r="C8" s="840"/>
      <c r="D8" s="683"/>
      <c r="E8" s="841"/>
      <c r="F8" s="842"/>
      <c r="G8" s="843"/>
      <c r="H8" s="842"/>
      <c r="I8" s="843"/>
      <c r="J8" s="842"/>
      <c r="K8" s="842"/>
      <c r="L8" s="844">
        <f t="shared" ref="L8:L11" si="0">SUM(E8:K8)</f>
        <v>0</v>
      </c>
    </row>
    <row r="9" spans="1:12" ht="18.75" customHeight="1" x14ac:dyDescent="0.3">
      <c r="A9" s="839"/>
      <c r="B9" s="840"/>
      <c r="C9" s="840"/>
      <c r="D9" s="683"/>
      <c r="E9" s="841"/>
      <c r="F9" s="842"/>
      <c r="G9" s="843"/>
      <c r="H9" s="842"/>
      <c r="I9" s="843"/>
      <c r="J9" s="842"/>
      <c r="K9" s="842"/>
      <c r="L9" s="844">
        <f t="shared" si="0"/>
        <v>0</v>
      </c>
    </row>
    <row r="10" spans="1:12" ht="18.75" customHeight="1" x14ac:dyDescent="0.3">
      <c r="A10" s="839"/>
      <c r="B10" s="840"/>
      <c r="C10" s="840"/>
      <c r="D10" s="683"/>
      <c r="E10" s="841"/>
      <c r="F10" s="842"/>
      <c r="G10" s="843"/>
      <c r="H10" s="842"/>
      <c r="I10" s="843"/>
      <c r="J10" s="842"/>
      <c r="K10" s="842"/>
      <c r="L10" s="844">
        <f t="shared" si="0"/>
        <v>0</v>
      </c>
    </row>
    <row r="11" spans="1:12" ht="18.75" customHeight="1" x14ac:dyDescent="0.3">
      <c r="A11" s="845"/>
      <c r="B11" s="846"/>
      <c r="C11" s="846"/>
      <c r="D11" s="847"/>
      <c r="E11" s="848"/>
      <c r="F11" s="849"/>
      <c r="G11" s="850"/>
      <c r="H11" s="849"/>
      <c r="I11" s="850"/>
      <c r="J11" s="849"/>
      <c r="K11" s="849"/>
      <c r="L11" s="851">
        <f t="shared" si="0"/>
        <v>0</v>
      </c>
    </row>
    <row r="12" spans="1:12" ht="18.75" customHeight="1" x14ac:dyDescent="0.3">
      <c r="A12" s="708"/>
      <c r="B12" s="526"/>
      <c r="C12" s="526"/>
      <c r="D12" s="525" t="s">
        <v>213</v>
      </c>
      <c r="E12" s="527">
        <f>SUM(E6:E11)</f>
        <v>10342965.16</v>
      </c>
      <c r="F12" s="527">
        <f t="shared" ref="F12:K12" si="1">SUM(F6:F11)</f>
        <v>237860</v>
      </c>
      <c r="G12" s="527">
        <f t="shared" si="1"/>
        <v>453842.36</v>
      </c>
      <c r="H12" s="527">
        <f t="shared" si="1"/>
        <v>231330</v>
      </c>
      <c r="I12" s="527">
        <f t="shared" si="1"/>
        <v>384868.17</v>
      </c>
      <c r="J12" s="527">
        <f>SUM(J6:J11)</f>
        <v>30000</v>
      </c>
      <c r="K12" s="527">
        <f t="shared" si="1"/>
        <v>0</v>
      </c>
      <c r="L12" s="715">
        <f>SUM(E12:K12)</f>
        <v>11680865.689999999</v>
      </c>
    </row>
    <row r="13" spans="1:12" ht="18.75" customHeight="1" x14ac:dyDescent="0.3">
      <c r="A13" s="709"/>
      <c r="B13" s="529"/>
      <c r="C13" s="529"/>
      <c r="D13" s="528" t="s">
        <v>214</v>
      </c>
      <c r="E13" s="530">
        <f>SUM(E3+E12)</f>
        <v>10342965.16</v>
      </c>
      <c r="F13" s="530">
        <f t="shared" ref="F13:K13" si="2">SUM(F3+F12)</f>
        <v>237860</v>
      </c>
      <c r="G13" s="530">
        <f t="shared" si="2"/>
        <v>453842.36</v>
      </c>
      <c r="H13" s="530">
        <f t="shared" si="2"/>
        <v>231330</v>
      </c>
      <c r="I13" s="530">
        <f t="shared" si="2"/>
        <v>384868.17</v>
      </c>
      <c r="J13" s="530">
        <f t="shared" si="2"/>
        <v>30000</v>
      </c>
      <c r="K13" s="530">
        <f t="shared" si="2"/>
        <v>0</v>
      </c>
      <c r="L13" s="716">
        <f>SUM(E13:K13)</f>
        <v>11680865.689999999</v>
      </c>
    </row>
    <row r="14" spans="1:12" ht="18.75" customHeight="1" x14ac:dyDescent="0.3">
      <c r="A14" s="710"/>
      <c r="B14" s="532"/>
      <c r="C14" s="532"/>
      <c r="D14" s="531" t="s">
        <v>215</v>
      </c>
      <c r="E14" s="533">
        <f>SUM(E4-E12)</f>
        <v>48107234.840000004</v>
      </c>
      <c r="F14" s="533">
        <f t="shared" ref="F14:K14" si="3">SUM(F4-F12)</f>
        <v>1212940</v>
      </c>
      <c r="G14" s="533">
        <f t="shared" si="3"/>
        <v>1703157.6400000001</v>
      </c>
      <c r="H14" s="533">
        <f t="shared" si="3"/>
        <v>1154670</v>
      </c>
      <c r="I14" s="533">
        <f t="shared" si="3"/>
        <v>1751131.83</v>
      </c>
      <c r="J14" s="533">
        <f t="shared" si="3"/>
        <v>105000</v>
      </c>
      <c r="K14" s="533">
        <f t="shared" si="3"/>
        <v>0</v>
      </c>
      <c r="L14" s="717">
        <f>SUM(E14:K14)</f>
        <v>54034134.310000002</v>
      </c>
    </row>
    <row r="15" spans="1:12" ht="18.75" customHeight="1" x14ac:dyDescent="0.3">
      <c r="A15" s="832" t="s">
        <v>216</v>
      </c>
      <c r="B15" s="833"/>
      <c r="C15" s="833"/>
      <c r="D15" s="834"/>
      <c r="E15" s="835"/>
      <c r="F15" s="836"/>
      <c r="G15" s="837"/>
      <c r="H15" s="836"/>
      <c r="I15" s="837"/>
      <c r="J15" s="836"/>
      <c r="K15" s="836"/>
      <c r="L15" s="838"/>
    </row>
    <row r="16" spans="1:12" ht="18.75" customHeight="1" x14ac:dyDescent="0.3">
      <c r="A16" s="839">
        <v>45623</v>
      </c>
      <c r="B16" s="840"/>
      <c r="C16" s="840"/>
      <c r="D16" s="683"/>
      <c r="E16" s="841">
        <v>10523162.57</v>
      </c>
      <c r="F16" s="842">
        <v>237860</v>
      </c>
      <c r="G16" s="843">
        <v>356425.8</v>
      </c>
      <c r="H16" s="842">
        <v>227620</v>
      </c>
      <c r="I16" s="843">
        <v>352925.8</v>
      </c>
      <c r="J16" s="842">
        <v>30000</v>
      </c>
      <c r="K16" s="842"/>
      <c r="L16" s="844">
        <f>SUM(E16:K16)</f>
        <v>11727994.170000002</v>
      </c>
    </row>
    <row r="17" spans="1:12" ht="18.75" customHeight="1" x14ac:dyDescent="0.3">
      <c r="A17" s="839"/>
      <c r="B17" s="840"/>
      <c r="C17" s="840"/>
      <c r="D17" s="683"/>
      <c r="E17" s="841"/>
      <c r="F17" s="842"/>
      <c r="G17" s="843"/>
      <c r="H17" s="842"/>
      <c r="I17" s="843"/>
      <c r="J17" s="842"/>
      <c r="K17" s="842"/>
      <c r="L17" s="844">
        <f t="shared" ref="L17:L20" si="4">SUM(E17:K17)</f>
        <v>0</v>
      </c>
    </row>
    <row r="18" spans="1:12" ht="18.75" customHeight="1" x14ac:dyDescent="0.3">
      <c r="A18" s="839"/>
      <c r="B18" s="840"/>
      <c r="C18" s="840"/>
      <c r="D18" s="683"/>
      <c r="E18" s="841"/>
      <c r="F18" s="842"/>
      <c r="G18" s="843"/>
      <c r="H18" s="842"/>
      <c r="I18" s="843"/>
      <c r="J18" s="842"/>
      <c r="K18" s="842"/>
      <c r="L18" s="844">
        <f t="shared" si="4"/>
        <v>0</v>
      </c>
    </row>
    <row r="19" spans="1:12" ht="18.75" customHeight="1" x14ac:dyDescent="0.3">
      <c r="A19" s="839"/>
      <c r="B19" s="840"/>
      <c r="C19" s="840"/>
      <c r="D19" s="683"/>
      <c r="E19" s="841"/>
      <c r="F19" s="842"/>
      <c r="G19" s="843"/>
      <c r="H19" s="842"/>
      <c r="I19" s="843"/>
      <c r="J19" s="842"/>
      <c r="K19" s="842"/>
      <c r="L19" s="844">
        <f t="shared" si="4"/>
        <v>0</v>
      </c>
    </row>
    <row r="20" spans="1:12" ht="18.75" customHeight="1" x14ac:dyDescent="0.3">
      <c r="A20" s="845"/>
      <c r="B20" s="846"/>
      <c r="C20" s="846"/>
      <c r="D20" s="847"/>
      <c r="E20" s="848"/>
      <c r="F20" s="849"/>
      <c r="G20" s="850"/>
      <c r="H20" s="849"/>
      <c r="I20" s="850"/>
      <c r="J20" s="849"/>
      <c r="K20" s="849"/>
      <c r="L20" s="851">
        <f t="shared" si="4"/>
        <v>0</v>
      </c>
    </row>
    <row r="21" spans="1:12" ht="18.75" customHeight="1" x14ac:dyDescent="0.3">
      <c r="A21" s="711"/>
      <c r="B21" s="535"/>
      <c r="C21" s="535"/>
      <c r="D21" s="534" t="s">
        <v>217</v>
      </c>
      <c r="E21" s="536">
        <f>SUM(E15:E20)</f>
        <v>10523162.57</v>
      </c>
      <c r="F21" s="536">
        <f t="shared" ref="F21:K21" si="5">SUM(F15:F20)</f>
        <v>237860</v>
      </c>
      <c r="G21" s="536">
        <f t="shared" si="5"/>
        <v>356425.8</v>
      </c>
      <c r="H21" s="536">
        <f t="shared" si="5"/>
        <v>227620</v>
      </c>
      <c r="I21" s="536">
        <f t="shared" si="5"/>
        <v>352925.8</v>
      </c>
      <c r="J21" s="536">
        <f t="shared" si="5"/>
        <v>30000</v>
      </c>
      <c r="K21" s="536">
        <f t="shared" si="5"/>
        <v>0</v>
      </c>
      <c r="L21" s="718">
        <f>SUM(E21:K21)</f>
        <v>11727994.170000002</v>
      </c>
    </row>
    <row r="22" spans="1:12" ht="18.75" customHeight="1" x14ac:dyDescent="0.3">
      <c r="A22" s="712"/>
      <c r="B22" s="538"/>
      <c r="C22" s="538"/>
      <c r="D22" s="537" t="s">
        <v>218</v>
      </c>
      <c r="E22" s="539">
        <f>SUM(E13+E21)</f>
        <v>20866127.73</v>
      </c>
      <c r="F22" s="539">
        <f t="shared" ref="F22:K22" si="6">SUM(F13+F21)</f>
        <v>475720</v>
      </c>
      <c r="G22" s="539">
        <f t="shared" si="6"/>
        <v>810268.15999999992</v>
      </c>
      <c r="H22" s="539">
        <f t="shared" si="6"/>
        <v>458950</v>
      </c>
      <c r="I22" s="539">
        <f t="shared" si="6"/>
        <v>737793.97</v>
      </c>
      <c r="J22" s="539">
        <f t="shared" si="6"/>
        <v>60000</v>
      </c>
      <c r="K22" s="539">
        <f t="shared" si="6"/>
        <v>0</v>
      </c>
      <c r="L22" s="719">
        <f>SUM(E22:K22)</f>
        <v>23408859.859999999</v>
      </c>
    </row>
    <row r="23" spans="1:12" ht="18.75" customHeight="1" x14ac:dyDescent="0.3">
      <c r="A23" s="713"/>
      <c r="B23" s="541"/>
      <c r="C23" s="541"/>
      <c r="D23" s="540" t="s">
        <v>219</v>
      </c>
      <c r="E23" s="542">
        <f>SUM(E14-E21)</f>
        <v>37584072.270000003</v>
      </c>
      <c r="F23" s="542">
        <f t="shared" ref="F23:K23" si="7">SUM(F14-F21)</f>
        <v>975080</v>
      </c>
      <c r="G23" s="542">
        <f t="shared" si="7"/>
        <v>1346731.84</v>
      </c>
      <c r="H23" s="542">
        <f t="shared" si="7"/>
        <v>927050</v>
      </c>
      <c r="I23" s="542">
        <f t="shared" si="7"/>
        <v>1398206.03</v>
      </c>
      <c r="J23" s="542">
        <f t="shared" si="7"/>
        <v>75000</v>
      </c>
      <c r="K23" s="542">
        <f t="shared" si="7"/>
        <v>0</v>
      </c>
      <c r="L23" s="719">
        <f>SUM(E23:K23)</f>
        <v>42306140.140000008</v>
      </c>
    </row>
    <row r="24" spans="1:12" ht="18.75" customHeight="1" x14ac:dyDescent="0.3">
      <c r="A24" s="832" t="s">
        <v>220</v>
      </c>
      <c r="B24" s="833"/>
      <c r="C24" s="833"/>
      <c r="D24" s="834"/>
      <c r="E24" s="835"/>
      <c r="F24" s="836"/>
      <c r="G24" s="837"/>
      <c r="H24" s="836"/>
      <c r="I24" s="837"/>
      <c r="J24" s="836"/>
      <c r="K24" s="836"/>
      <c r="L24" s="838">
        <f t="shared" ref="L24:L33" si="8">SUM(E24:K24)</f>
        <v>0</v>
      </c>
    </row>
    <row r="25" spans="1:12" ht="18.75" customHeight="1" x14ac:dyDescent="0.3">
      <c r="A25" s="839"/>
      <c r="B25" s="840"/>
      <c r="C25" s="840"/>
      <c r="D25" s="683"/>
      <c r="E25" s="841">
        <v>10406965.27</v>
      </c>
      <c r="F25" s="842">
        <v>237860</v>
      </c>
      <c r="G25" s="843">
        <v>356400</v>
      </c>
      <c r="H25" s="842">
        <v>245999.03</v>
      </c>
      <c r="I25" s="843">
        <v>352900</v>
      </c>
      <c r="J25" s="842">
        <v>30000</v>
      </c>
      <c r="K25" s="842"/>
      <c r="L25" s="844">
        <f>SUM(E25:K25)</f>
        <v>11630124.299999999</v>
      </c>
    </row>
    <row r="26" spans="1:12" ht="18.75" customHeight="1" x14ac:dyDescent="0.3">
      <c r="A26" s="839"/>
      <c r="B26" s="840"/>
      <c r="C26" s="840"/>
      <c r="D26" s="683"/>
      <c r="E26" s="841"/>
      <c r="F26" s="842"/>
      <c r="G26" s="843"/>
      <c r="H26" s="842"/>
      <c r="I26" s="843"/>
      <c r="J26" s="842"/>
      <c r="K26" s="842"/>
      <c r="L26" s="844">
        <f t="shared" ref="L26:L29" si="9">SUM(E26:K26)</f>
        <v>0</v>
      </c>
    </row>
    <row r="27" spans="1:12" ht="18.75" customHeight="1" x14ac:dyDescent="0.3">
      <c r="A27" s="839"/>
      <c r="B27" s="840"/>
      <c r="C27" s="840"/>
      <c r="D27" s="683"/>
      <c r="E27" s="841"/>
      <c r="F27" s="842"/>
      <c r="G27" s="843"/>
      <c r="H27" s="842"/>
      <c r="I27" s="843"/>
      <c r="J27" s="842"/>
      <c r="K27" s="842"/>
      <c r="L27" s="844">
        <f t="shared" si="9"/>
        <v>0</v>
      </c>
    </row>
    <row r="28" spans="1:12" ht="18.75" customHeight="1" x14ac:dyDescent="0.3">
      <c r="A28" s="839"/>
      <c r="B28" s="840"/>
      <c r="C28" s="840"/>
      <c r="D28" s="683"/>
      <c r="E28" s="841"/>
      <c r="F28" s="842"/>
      <c r="G28" s="843"/>
      <c r="H28" s="842"/>
      <c r="I28" s="843"/>
      <c r="J28" s="842"/>
      <c r="K28" s="842"/>
      <c r="L28" s="844">
        <f t="shared" si="9"/>
        <v>0</v>
      </c>
    </row>
    <row r="29" spans="1:12" ht="18.75" customHeight="1" x14ac:dyDescent="0.3">
      <c r="A29" s="845"/>
      <c r="B29" s="846"/>
      <c r="C29" s="846"/>
      <c r="D29" s="847"/>
      <c r="E29" s="848"/>
      <c r="F29" s="849"/>
      <c r="G29" s="850"/>
      <c r="H29" s="849"/>
      <c r="I29" s="850"/>
      <c r="J29" s="849"/>
      <c r="K29" s="849"/>
      <c r="L29" s="851">
        <f t="shared" si="9"/>
        <v>0</v>
      </c>
    </row>
    <row r="30" spans="1:12" ht="18.75" customHeight="1" x14ac:dyDescent="0.3">
      <c r="A30" s="711"/>
      <c r="B30" s="535"/>
      <c r="C30" s="535"/>
      <c r="D30" s="534" t="s">
        <v>221</v>
      </c>
      <c r="E30" s="536">
        <f>SUM(E24:E29)</f>
        <v>10406965.27</v>
      </c>
      <c r="F30" s="536">
        <f t="shared" ref="F30:K30" si="10">SUM(F24:F29)</f>
        <v>237860</v>
      </c>
      <c r="G30" s="536">
        <f t="shared" si="10"/>
        <v>356400</v>
      </c>
      <c r="H30" s="536">
        <f t="shared" si="10"/>
        <v>245999.03</v>
      </c>
      <c r="I30" s="536">
        <f t="shared" si="10"/>
        <v>352900</v>
      </c>
      <c r="J30" s="536">
        <f t="shared" si="10"/>
        <v>30000</v>
      </c>
      <c r="K30" s="536">
        <f t="shared" si="10"/>
        <v>0</v>
      </c>
      <c r="L30" s="718">
        <f>SUM(E30:K30)</f>
        <v>11630124.299999999</v>
      </c>
    </row>
    <row r="31" spans="1:12" ht="18.75" customHeight="1" x14ac:dyDescent="0.3">
      <c r="A31" s="712"/>
      <c r="B31" s="538"/>
      <c r="C31" s="538"/>
      <c r="D31" s="537" t="s">
        <v>222</v>
      </c>
      <c r="E31" s="539">
        <f>SUM(E22+E30)</f>
        <v>31273093</v>
      </c>
      <c r="F31" s="539">
        <f t="shared" ref="F31:K31" si="11">SUM(F22+F30)</f>
        <v>713580</v>
      </c>
      <c r="G31" s="539">
        <f t="shared" si="11"/>
        <v>1166668.1599999999</v>
      </c>
      <c r="H31" s="539">
        <f t="shared" si="11"/>
        <v>704949.03</v>
      </c>
      <c r="I31" s="539">
        <f t="shared" si="11"/>
        <v>1090693.97</v>
      </c>
      <c r="J31" s="539">
        <f t="shared" si="11"/>
        <v>90000</v>
      </c>
      <c r="K31" s="539">
        <f t="shared" si="11"/>
        <v>0</v>
      </c>
      <c r="L31" s="719">
        <f>SUM(E31:K31)</f>
        <v>35038984.159999996</v>
      </c>
    </row>
    <row r="32" spans="1:12" ht="18.75" customHeight="1" x14ac:dyDescent="0.3">
      <c r="A32" s="713"/>
      <c r="B32" s="541"/>
      <c r="C32" s="541"/>
      <c r="D32" s="540" t="s">
        <v>223</v>
      </c>
      <c r="E32" s="542">
        <f>SUM(E23-E30)</f>
        <v>27177107.000000004</v>
      </c>
      <c r="F32" s="542">
        <f t="shared" ref="F32:K32" si="12">SUM(F23-F30)</f>
        <v>737220</v>
      </c>
      <c r="G32" s="542">
        <f t="shared" si="12"/>
        <v>990331.84000000008</v>
      </c>
      <c r="H32" s="542">
        <f t="shared" si="12"/>
        <v>681050.97</v>
      </c>
      <c r="I32" s="542">
        <f t="shared" si="12"/>
        <v>1045306.03</v>
      </c>
      <c r="J32" s="542">
        <f t="shared" si="12"/>
        <v>45000</v>
      </c>
      <c r="K32" s="542">
        <f t="shared" si="12"/>
        <v>0</v>
      </c>
      <c r="L32" s="719">
        <f>SUM(E32:K32)</f>
        <v>30676015.840000004</v>
      </c>
    </row>
    <row r="33" spans="1:12" ht="18.75" customHeight="1" x14ac:dyDescent="0.3">
      <c r="A33" s="832" t="s">
        <v>224</v>
      </c>
      <c r="B33" s="833"/>
      <c r="C33" s="833"/>
      <c r="D33" s="834"/>
      <c r="E33" s="835"/>
      <c r="F33" s="836"/>
      <c r="G33" s="837"/>
      <c r="H33" s="836"/>
      <c r="I33" s="837"/>
      <c r="J33" s="836"/>
      <c r="K33" s="836"/>
      <c r="L33" s="838">
        <f t="shared" si="8"/>
        <v>0</v>
      </c>
    </row>
    <row r="34" spans="1:12" ht="18.75" customHeight="1" x14ac:dyDescent="0.3">
      <c r="A34" s="839"/>
      <c r="B34" s="840"/>
      <c r="C34" s="840"/>
      <c r="D34" s="683"/>
      <c r="E34" s="841">
        <v>10359051.23</v>
      </c>
      <c r="F34" s="842">
        <v>237860</v>
      </c>
      <c r="G34" s="843">
        <v>356400</v>
      </c>
      <c r="H34" s="842">
        <v>229570</v>
      </c>
      <c r="I34" s="843">
        <v>352900</v>
      </c>
      <c r="J34" s="842">
        <v>30000</v>
      </c>
      <c r="K34" s="842">
        <v>31741.94</v>
      </c>
      <c r="L34" s="844">
        <f>SUM(E34:K34)</f>
        <v>11597523.17</v>
      </c>
    </row>
    <row r="35" spans="1:12" ht="18.75" customHeight="1" x14ac:dyDescent="0.3">
      <c r="A35" s="839"/>
      <c r="B35" s="840"/>
      <c r="C35" s="840"/>
      <c r="D35" s="683"/>
      <c r="E35" s="841"/>
      <c r="F35" s="842"/>
      <c r="G35" s="843"/>
      <c r="H35" s="842"/>
      <c r="I35" s="843"/>
      <c r="J35" s="842"/>
      <c r="K35" s="842"/>
      <c r="L35" s="844">
        <f t="shared" ref="L35:L38" si="13">SUM(E35:K35)</f>
        <v>0</v>
      </c>
    </row>
    <row r="36" spans="1:12" ht="18.75" customHeight="1" x14ac:dyDescent="0.3">
      <c r="A36" s="839"/>
      <c r="B36" s="840"/>
      <c r="C36" s="840"/>
      <c r="D36" s="683"/>
      <c r="E36" s="841"/>
      <c r="F36" s="842"/>
      <c r="G36" s="843"/>
      <c r="H36" s="842"/>
      <c r="I36" s="843"/>
      <c r="J36" s="842"/>
      <c r="K36" s="842"/>
      <c r="L36" s="844">
        <f t="shared" si="13"/>
        <v>0</v>
      </c>
    </row>
    <row r="37" spans="1:12" ht="18.75" customHeight="1" x14ac:dyDescent="0.3">
      <c r="A37" s="839"/>
      <c r="B37" s="840"/>
      <c r="C37" s="840"/>
      <c r="D37" s="683"/>
      <c r="E37" s="841"/>
      <c r="F37" s="842"/>
      <c r="G37" s="843"/>
      <c r="H37" s="842"/>
      <c r="I37" s="843"/>
      <c r="J37" s="842"/>
      <c r="K37" s="842"/>
      <c r="L37" s="844">
        <f t="shared" si="13"/>
        <v>0</v>
      </c>
    </row>
    <row r="38" spans="1:12" ht="18.75" customHeight="1" x14ac:dyDescent="0.3">
      <c r="A38" s="845"/>
      <c r="B38" s="846"/>
      <c r="C38" s="846"/>
      <c r="D38" s="847"/>
      <c r="E38" s="848"/>
      <c r="F38" s="849"/>
      <c r="G38" s="850"/>
      <c r="H38" s="849"/>
      <c r="I38" s="850"/>
      <c r="J38" s="849"/>
      <c r="K38" s="849"/>
      <c r="L38" s="851">
        <f t="shared" si="13"/>
        <v>0</v>
      </c>
    </row>
    <row r="39" spans="1:12" ht="18.75" customHeight="1" x14ac:dyDescent="0.3">
      <c r="A39" s="711"/>
      <c r="B39" s="535"/>
      <c r="C39" s="535"/>
      <c r="D39" s="534" t="s">
        <v>225</v>
      </c>
      <c r="E39" s="536">
        <f>SUM(E33:E38)</f>
        <v>10359051.23</v>
      </c>
      <c r="F39" s="536">
        <f t="shared" ref="F39:K39" si="14">SUM(F33:F38)</f>
        <v>237860</v>
      </c>
      <c r="G39" s="536">
        <f t="shared" si="14"/>
        <v>356400</v>
      </c>
      <c r="H39" s="536">
        <f t="shared" si="14"/>
        <v>229570</v>
      </c>
      <c r="I39" s="536">
        <f t="shared" si="14"/>
        <v>352900</v>
      </c>
      <c r="J39" s="536">
        <f t="shared" si="14"/>
        <v>30000</v>
      </c>
      <c r="K39" s="536">
        <f t="shared" si="14"/>
        <v>31741.94</v>
      </c>
      <c r="L39" s="718">
        <f>SUM(E39:K39)</f>
        <v>11597523.17</v>
      </c>
    </row>
    <row r="40" spans="1:12" ht="18.75" customHeight="1" x14ac:dyDescent="0.3">
      <c r="A40" s="712"/>
      <c r="B40" s="538"/>
      <c r="C40" s="538"/>
      <c r="D40" s="537" t="s">
        <v>226</v>
      </c>
      <c r="E40" s="539">
        <f>SUM(E31+E39)</f>
        <v>41632144.230000004</v>
      </c>
      <c r="F40" s="539">
        <f t="shared" ref="F40:K40" si="15">SUM(F31+F39)</f>
        <v>951440</v>
      </c>
      <c r="G40" s="539">
        <f t="shared" si="15"/>
        <v>1523068.16</v>
      </c>
      <c r="H40" s="539">
        <f t="shared" si="15"/>
        <v>934519.03</v>
      </c>
      <c r="I40" s="539">
        <f t="shared" si="15"/>
        <v>1443593.97</v>
      </c>
      <c r="J40" s="539">
        <f t="shared" si="15"/>
        <v>120000</v>
      </c>
      <c r="K40" s="539">
        <f t="shared" si="15"/>
        <v>31741.94</v>
      </c>
      <c r="L40" s="719">
        <f>SUM(E40:K40)</f>
        <v>46636507.329999998</v>
      </c>
    </row>
    <row r="41" spans="1:12" ht="18.75" customHeight="1" x14ac:dyDescent="0.3">
      <c r="A41" s="713"/>
      <c r="B41" s="541"/>
      <c r="C41" s="541"/>
      <c r="D41" s="540" t="s">
        <v>227</v>
      </c>
      <c r="E41" s="542">
        <f>SUM(E32-E39)</f>
        <v>16818055.770000003</v>
      </c>
      <c r="F41" s="542">
        <f t="shared" ref="F41:K41" si="16">SUM(F32-F39)</f>
        <v>499360</v>
      </c>
      <c r="G41" s="542">
        <f t="shared" si="16"/>
        <v>633931.84000000008</v>
      </c>
      <c r="H41" s="542">
        <f t="shared" si="16"/>
        <v>451480.97</v>
      </c>
      <c r="I41" s="542">
        <f t="shared" si="16"/>
        <v>692406.03</v>
      </c>
      <c r="J41" s="542">
        <f t="shared" si="16"/>
        <v>15000</v>
      </c>
      <c r="K41" s="542">
        <f t="shared" si="16"/>
        <v>-31741.94</v>
      </c>
      <c r="L41" s="720">
        <f>SUM(E41:K41)</f>
        <v>19078492.670000002</v>
      </c>
    </row>
    <row r="42" spans="1:12" ht="18.75" customHeight="1" x14ac:dyDescent="0.3">
      <c r="A42" s="832" t="s">
        <v>228</v>
      </c>
      <c r="B42" s="833"/>
      <c r="C42" s="833"/>
      <c r="D42" s="834"/>
      <c r="E42" s="835"/>
      <c r="F42" s="836"/>
      <c r="G42" s="837"/>
      <c r="H42" s="836"/>
      <c r="I42" s="837"/>
      <c r="J42" s="836"/>
      <c r="K42" s="836"/>
      <c r="L42" s="838">
        <f t="shared" ref="L42" si="17">SUM(E42:K42)</f>
        <v>0</v>
      </c>
    </row>
    <row r="43" spans="1:12" ht="18.75" customHeight="1" x14ac:dyDescent="0.3">
      <c r="A43" s="839"/>
      <c r="B43" s="840"/>
      <c r="C43" s="840"/>
      <c r="D43" s="683"/>
      <c r="E43" s="841"/>
      <c r="F43" s="842"/>
      <c r="G43" s="843"/>
      <c r="H43" s="842"/>
      <c r="I43" s="843"/>
      <c r="J43" s="842"/>
      <c r="K43" s="842"/>
      <c r="L43" s="844">
        <f>SUM(E43:K43)</f>
        <v>0</v>
      </c>
    </row>
    <row r="44" spans="1:12" ht="18.75" customHeight="1" x14ac:dyDescent="0.3">
      <c r="A44" s="839"/>
      <c r="B44" s="840"/>
      <c r="C44" s="840"/>
      <c r="D44" s="683"/>
      <c r="E44" s="841"/>
      <c r="F44" s="842"/>
      <c r="G44" s="843"/>
      <c r="H44" s="842"/>
      <c r="I44" s="843"/>
      <c r="J44" s="842"/>
      <c r="K44" s="842"/>
      <c r="L44" s="844">
        <f t="shared" ref="L44:L47" si="18">SUM(E44:K44)</f>
        <v>0</v>
      </c>
    </row>
    <row r="45" spans="1:12" ht="18.75" customHeight="1" x14ac:dyDescent="0.3">
      <c r="A45" s="839"/>
      <c r="B45" s="840"/>
      <c r="C45" s="840"/>
      <c r="D45" s="683"/>
      <c r="E45" s="841"/>
      <c r="F45" s="842"/>
      <c r="G45" s="843"/>
      <c r="H45" s="842"/>
      <c r="I45" s="843"/>
      <c r="J45" s="842"/>
      <c r="K45" s="842"/>
      <c r="L45" s="844">
        <f t="shared" si="18"/>
        <v>0</v>
      </c>
    </row>
    <row r="46" spans="1:12" ht="18.75" customHeight="1" x14ac:dyDescent="0.3">
      <c r="A46" s="839"/>
      <c r="B46" s="840"/>
      <c r="C46" s="840"/>
      <c r="D46" s="683"/>
      <c r="E46" s="841"/>
      <c r="F46" s="842"/>
      <c r="G46" s="843"/>
      <c r="H46" s="842"/>
      <c r="I46" s="843"/>
      <c r="J46" s="842"/>
      <c r="K46" s="842"/>
      <c r="L46" s="844">
        <f t="shared" si="18"/>
        <v>0</v>
      </c>
    </row>
    <row r="47" spans="1:12" ht="18.75" customHeight="1" x14ac:dyDescent="0.3">
      <c r="A47" s="845"/>
      <c r="B47" s="846"/>
      <c r="C47" s="846"/>
      <c r="D47" s="847"/>
      <c r="E47" s="848"/>
      <c r="F47" s="849"/>
      <c r="G47" s="850"/>
      <c r="H47" s="849"/>
      <c r="I47" s="850"/>
      <c r="J47" s="849"/>
      <c r="K47" s="849"/>
      <c r="L47" s="851">
        <f t="shared" si="18"/>
        <v>0</v>
      </c>
    </row>
    <row r="48" spans="1:12" ht="18.75" customHeight="1" x14ac:dyDescent="0.3">
      <c r="A48" s="711"/>
      <c r="B48" s="535"/>
      <c r="C48" s="535"/>
      <c r="D48" s="534" t="s">
        <v>229</v>
      </c>
      <c r="E48" s="536">
        <f>SUM(E42:E47)</f>
        <v>0</v>
      </c>
      <c r="F48" s="536">
        <f t="shared" ref="F48:K48" si="19">SUM(F42:F47)</f>
        <v>0</v>
      </c>
      <c r="G48" s="536">
        <f t="shared" si="19"/>
        <v>0</v>
      </c>
      <c r="H48" s="536">
        <f t="shared" si="19"/>
        <v>0</v>
      </c>
      <c r="I48" s="536">
        <f t="shared" si="19"/>
        <v>0</v>
      </c>
      <c r="J48" s="536">
        <f t="shared" si="19"/>
        <v>0</v>
      </c>
      <c r="K48" s="536">
        <f t="shared" si="19"/>
        <v>0</v>
      </c>
      <c r="L48" s="718">
        <f>SUM(E48:K48)</f>
        <v>0</v>
      </c>
    </row>
    <row r="49" spans="1:12" ht="18.75" customHeight="1" x14ac:dyDescent="0.3">
      <c r="A49" s="712"/>
      <c r="B49" s="538"/>
      <c r="C49" s="538"/>
      <c r="D49" s="537" t="s">
        <v>230</v>
      </c>
      <c r="E49" s="539">
        <f t="shared" ref="E49:K49" si="20">SUM(E40+E48)</f>
        <v>41632144.230000004</v>
      </c>
      <c r="F49" s="539">
        <f t="shared" si="20"/>
        <v>951440</v>
      </c>
      <c r="G49" s="539">
        <f t="shared" si="20"/>
        <v>1523068.16</v>
      </c>
      <c r="H49" s="539">
        <f t="shared" si="20"/>
        <v>934519.03</v>
      </c>
      <c r="I49" s="539">
        <f t="shared" si="20"/>
        <v>1443593.97</v>
      </c>
      <c r="J49" s="539">
        <f t="shared" si="20"/>
        <v>120000</v>
      </c>
      <c r="K49" s="539">
        <f t="shared" si="20"/>
        <v>31741.94</v>
      </c>
      <c r="L49" s="719">
        <f>SUM(E49:K49)</f>
        <v>46636507.329999998</v>
      </c>
    </row>
    <row r="50" spans="1:12" ht="18.75" customHeight="1" x14ac:dyDescent="0.3">
      <c r="A50" s="713"/>
      <c r="B50" s="541"/>
      <c r="C50" s="541"/>
      <c r="D50" s="540" t="s">
        <v>231</v>
      </c>
      <c r="E50" s="542">
        <f t="shared" ref="E50:K50" si="21">SUM(E41-E48)</f>
        <v>16818055.770000003</v>
      </c>
      <c r="F50" s="542">
        <f t="shared" si="21"/>
        <v>499360</v>
      </c>
      <c r="G50" s="542">
        <f t="shared" si="21"/>
        <v>633931.84000000008</v>
      </c>
      <c r="H50" s="542">
        <f t="shared" si="21"/>
        <v>451480.97</v>
      </c>
      <c r="I50" s="542">
        <f t="shared" si="21"/>
        <v>692406.03</v>
      </c>
      <c r="J50" s="542">
        <f t="shared" si="21"/>
        <v>15000</v>
      </c>
      <c r="K50" s="542">
        <f t="shared" si="21"/>
        <v>-31741.94</v>
      </c>
      <c r="L50" s="720">
        <f>SUM(E50:K50)</f>
        <v>19078492.670000002</v>
      </c>
    </row>
    <row r="51" spans="1:12" ht="18.75" customHeight="1" x14ac:dyDescent="0.3">
      <c r="A51" s="832" t="s">
        <v>232</v>
      </c>
      <c r="B51" s="833"/>
      <c r="C51" s="833"/>
      <c r="D51" s="834"/>
      <c r="E51" s="835"/>
      <c r="F51" s="836"/>
      <c r="G51" s="837"/>
      <c r="H51" s="836"/>
      <c r="I51" s="837"/>
      <c r="J51" s="836"/>
      <c r="K51" s="836"/>
      <c r="L51" s="838">
        <f t="shared" ref="L51" si="22">SUM(E51:K51)</f>
        <v>0</v>
      </c>
    </row>
    <row r="52" spans="1:12" ht="18.75" customHeight="1" x14ac:dyDescent="0.3">
      <c r="A52" s="839"/>
      <c r="B52" s="840"/>
      <c r="C52" s="840"/>
      <c r="D52" s="683"/>
      <c r="E52" s="841"/>
      <c r="F52" s="842"/>
      <c r="G52" s="843"/>
      <c r="H52" s="842"/>
      <c r="I52" s="843"/>
      <c r="J52" s="842"/>
      <c r="K52" s="842"/>
      <c r="L52" s="844">
        <f>SUM(E52:K52)</f>
        <v>0</v>
      </c>
    </row>
    <row r="53" spans="1:12" ht="18.75" customHeight="1" x14ac:dyDescent="0.3">
      <c r="A53" s="839"/>
      <c r="B53" s="840"/>
      <c r="C53" s="840"/>
      <c r="D53" s="683"/>
      <c r="E53" s="841"/>
      <c r="F53" s="842"/>
      <c r="G53" s="843"/>
      <c r="H53" s="842"/>
      <c r="I53" s="843"/>
      <c r="J53" s="842"/>
      <c r="K53" s="842"/>
      <c r="L53" s="844">
        <f t="shared" ref="L53:L56" si="23">SUM(E53:K53)</f>
        <v>0</v>
      </c>
    </row>
    <row r="54" spans="1:12" ht="18.75" customHeight="1" x14ac:dyDescent="0.3">
      <c r="A54" s="839"/>
      <c r="B54" s="840"/>
      <c r="C54" s="840"/>
      <c r="D54" s="683"/>
      <c r="E54" s="841"/>
      <c r="F54" s="842"/>
      <c r="G54" s="843"/>
      <c r="H54" s="842"/>
      <c r="I54" s="843"/>
      <c r="J54" s="842"/>
      <c r="K54" s="842"/>
      <c r="L54" s="844">
        <f t="shared" si="23"/>
        <v>0</v>
      </c>
    </row>
    <row r="55" spans="1:12" ht="18.75" customHeight="1" x14ac:dyDescent="0.3">
      <c r="A55" s="839"/>
      <c r="B55" s="840"/>
      <c r="C55" s="840"/>
      <c r="D55" s="683"/>
      <c r="E55" s="841"/>
      <c r="F55" s="842"/>
      <c r="G55" s="843"/>
      <c r="H55" s="842"/>
      <c r="I55" s="843"/>
      <c r="J55" s="842"/>
      <c r="K55" s="842"/>
      <c r="L55" s="844">
        <f t="shared" si="23"/>
        <v>0</v>
      </c>
    </row>
    <row r="56" spans="1:12" ht="18.75" customHeight="1" x14ac:dyDescent="0.3">
      <c r="A56" s="845"/>
      <c r="B56" s="846"/>
      <c r="C56" s="846"/>
      <c r="D56" s="847"/>
      <c r="E56" s="848"/>
      <c r="F56" s="849"/>
      <c r="G56" s="850"/>
      <c r="H56" s="849"/>
      <c r="I56" s="850"/>
      <c r="J56" s="849"/>
      <c r="K56" s="849"/>
      <c r="L56" s="851">
        <f t="shared" si="23"/>
        <v>0</v>
      </c>
    </row>
    <row r="57" spans="1:12" ht="18.75" customHeight="1" x14ac:dyDescent="0.3">
      <c r="A57" s="711"/>
      <c r="B57" s="535"/>
      <c r="C57" s="535"/>
      <c r="D57" s="534" t="s">
        <v>233</v>
      </c>
      <c r="E57" s="536">
        <f t="shared" ref="E57:K57" si="24">SUM(E51:E56)</f>
        <v>0</v>
      </c>
      <c r="F57" s="536">
        <f t="shared" si="24"/>
        <v>0</v>
      </c>
      <c r="G57" s="536">
        <f t="shared" si="24"/>
        <v>0</v>
      </c>
      <c r="H57" s="536">
        <f t="shared" si="24"/>
        <v>0</v>
      </c>
      <c r="I57" s="536">
        <f t="shared" si="24"/>
        <v>0</v>
      </c>
      <c r="J57" s="536">
        <f t="shared" si="24"/>
        <v>0</v>
      </c>
      <c r="K57" s="536">
        <f t="shared" si="24"/>
        <v>0</v>
      </c>
      <c r="L57" s="718">
        <f>SUM(E57:K57)</f>
        <v>0</v>
      </c>
    </row>
    <row r="58" spans="1:12" ht="18.75" customHeight="1" x14ac:dyDescent="0.3">
      <c r="A58" s="712"/>
      <c r="B58" s="538"/>
      <c r="C58" s="538"/>
      <c r="D58" s="537" t="s">
        <v>234</v>
      </c>
      <c r="E58" s="539">
        <f t="shared" ref="E58:K58" si="25">SUM(E49+E57)</f>
        <v>41632144.230000004</v>
      </c>
      <c r="F58" s="539">
        <f t="shared" si="25"/>
        <v>951440</v>
      </c>
      <c r="G58" s="539">
        <f t="shared" si="25"/>
        <v>1523068.16</v>
      </c>
      <c r="H58" s="539">
        <f t="shared" si="25"/>
        <v>934519.03</v>
      </c>
      <c r="I58" s="539">
        <f t="shared" si="25"/>
        <v>1443593.97</v>
      </c>
      <c r="J58" s="539">
        <f t="shared" si="25"/>
        <v>120000</v>
      </c>
      <c r="K58" s="539">
        <f t="shared" si="25"/>
        <v>31741.94</v>
      </c>
      <c r="L58" s="719">
        <f>SUM(E58:K58)</f>
        <v>46636507.329999998</v>
      </c>
    </row>
    <row r="59" spans="1:12" ht="18.75" customHeight="1" x14ac:dyDescent="0.3">
      <c r="A59" s="713"/>
      <c r="B59" s="541"/>
      <c r="C59" s="541"/>
      <c r="D59" s="540" t="s">
        <v>235</v>
      </c>
      <c r="E59" s="542">
        <f t="shared" ref="E59:K59" si="26">SUM(E50-E57)</f>
        <v>16818055.770000003</v>
      </c>
      <c r="F59" s="542">
        <f t="shared" si="26"/>
        <v>499360</v>
      </c>
      <c r="G59" s="542">
        <f t="shared" si="26"/>
        <v>633931.84000000008</v>
      </c>
      <c r="H59" s="542">
        <f t="shared" si="26"/>
        <v>451480.97</v>
      </c>
      <c r="I59" s="542">
        <f t="shared" si="26"/>
        <v>692406.03</v>
      </c>
      <c r="J59" s="542">
        <f t="shared" si="26"/>
        <v>15000</v>
      </c>
      <c r="K59" s="542">
        <f t="shared" si="26"/>
        <v>-31741.94</v>
      </c>
      <c r="L59" s="720">
        <f>SUM(E59:K59)</f>
        <v>19078492.670000002</v>
      </c>
    </row>
    <row r="60" spans="1:12" ht="18.75" customHeight="1" x14ac:dyDescent="0.3">
      <c r="A60" s="832" t="s">
        <v>236</v>
      </c>
      <c r="B60" s="833"/>
      <c r="C60" s="833"/>
      <c r="D60" s="834"/>
      <c r="E60" s="835"/>
      <c r="F60" s="836"/>
      <c r="G60" s="837"/>
      <c r="H60" s="836"/>
      <c r="I60" s="837"/>
      <c r="J60" s="836"/>
      <c r="K60" s="836"/>
      <c r="L60" s="838">
        <f t="shared" ref="L60" si="27">SUM(E60:K60)</f>
        <v>0</v>
      </c>
    </row>
    <row r="61" spans="1:12" ht="18.75" customHeight="1" x14ac:dyDescent="0.3">
      <c r="A61" s="839"/>
      <c r="B61" s="840"/>
      <c r="C61" s="840"/>
      <c r="D61" s="683"/>
      <c r="E61" s="841"/>
      <c r="F61" s="842"/>
      <c r="G61" s="843"/>
      <c r="H61" s="842"/>
      <c r="I61" s="843"/>
      <c r="J61" s="842"/>
      <c r="K61" s="842"/>
      <c r="L61" s="844">
        <f>SUM(E61:K61)</f>
        <v>0</v>
      </c>
    </row>
    <row r="62" spans="1:12" ht="18.75" customHeight="1" x14ac:dyDescent="0.3">
      <c r="A62" s="839"/>
      <c r="B62" s="840"/>
      <c r="C62" s="840"/>
      <c r="D62" s="683"/>
      <c r="E62" s="841"/>
      <c r="F62" s="842"/>
      <c r="G62" s="843"/>
      <c r="H62" s="842"/>
      <c r="I62" s="843"/>
      <c r="J62" s="842"/>
      <c r="K62" s="842"/>
      <c r="L62" s="844">
        <f t="shared" ref="L62:L65" si="28">SUM(E62:K62)</f>
        <v>0</v>
      </c>
    </row>
    <row r="63" spans="1:12" ht="18.75" customHeight="1" x14ac:dyDescent="0.3">
      <c r="A63" s="839"/>
      <c r="B63" s="840"/>
      <c r="C63" s="840"/>
      <c r="D63" s="683"/>
      <c r="E63" s="841"/>
      <c r="F63" s="842"/>
      <c r="G63" s="843"/>
      <c r="H63" s="842"/>
      <c r="I63" s="843"/>
      <c r="J63" s="842"/>
      <c r="K63" s="842"/>
      <c r="L63" s="844">
        <f t="shared" si="28"/>
        <v>0</v>
      </c>
    </row>
    <row r="64" spans="1:12" ht="18.75" customHeight="1" x14ac:dyDescent="0.3">
      <c r="A64" s="839"/>
      <c r="B64" s="840"/>
      <c r="C64" s="840"/>
      <c r="D64" s="683"/>
      <c r="E64" s="841"/>
      <c r="F64" s="842"/>
      <c r="G64" s="843"/>
      <c r="H64" s="842"/>
      <c r="I64" s="843"/>
      <c r="J64" s="842"/>
      <c r="K64" s="842"/>
      <c r="L64" s="844">
        <f t="shared" si="28"/>
        <v>0</v>
      </c>
    </row>
    <row r="65" spans="1:12" ht="18.75" customHeight="1" x14ac:dyDescent="0.3">
      <c r="A65" s="845"/>
      <c r="B65" s="846"/>
      <c r="C65" s="846"/>
      <c r="D65" s="847"/>
      <c r="E65" s="848"/>
      <c r="F65" s="849"/>
      <c r="G65" s="850"/>
      <c r="H65" s="849"/>
      <c r="I65" s="850"/>
      <c r="J65" s="849"/>
      <c r="K65" s="849"/>
      <c r="L65" s="851">
        <f t="shared" si="28"/>
        <v>0</v>
      </c>
    </row>
    <row r="66" spans="1:12" ht="18.75" customHeight="1" x14ac:dyDescent="0.3">
      <c r="A66" s="711"/>
      <c r="B66" s="535"/>
      <c r="C66" s="535"/>
      <c r="D66" s="534" t="s">
        <v>237</v>
      </c>
      <c r="E66" s="536">
        <f t="shared" ref="E66:K66" si="29">SUM(E60:E65)</f>
        <v>0</v>
      </c>
      <c r="F66" s="536">
        <f t="shared" si="29"/>
        <v>0</v>
      </c>
      <c r="G66" s="536">
        <f t="shared" si="29"/>
        <v>0</v>
      </c>
      <c r="H66" s="536">
        <f t="shared" si="29"/>
        <v>0</v>
      </c>
      <c r="I66" s="536">
        <f t="shared" si="29"/>
        <v>0</v>
      </c>
      <c r="J66" s="536">
        <f t="shared" si="29"/>
        <v>0</v>
      </c>
      <c r="K66" s="536">
        <f t="shared" si="29"/>
        <v>0</v>
      </c>
      <c r="L66" s="718">
        <f>SUM(E66:K66)</f>
        <v>0</v>
      </c>
    </row>
    <row r="67" spans="1:12" ht="18.75" customHeight="1" x14ac:dyDescent="0.3">
      <c r="A67" s="712"/>
      <c r="B67" s="538"/>
      <c r="C67" s="538"/>
      <c r="D67" s="537" t="s">
        <v>238</v>
      </c>
      <c r="E67" s="539">
        <f t="shared" ref="E67:K67" si="30">SUM(E58+E66)</f>
        <v>41632144.230000004</v>
      </c>
      <c r="F67" s="539">
        <f t="shared" si="30"/>
        <v>951440</v>
      </c>
      <c r="G67" s="539">
        <f t="shared" si="30"/>
        <v>1523068.16</v>
      </c>
      <c r="H67" s="539">
        <f t="shared" si="30"/>
        <v>934519.03</v>
      </c>
      <c r="I67" s="539">
        <f t="shared" si="30"/>
        <v>1443593.97</v>
      </c>
      <c r="J67" s="539">
        <f t="shared" si="30"/>
        <v>120000</v>
      </c>
      <c r="K67" s="539">
        <f t="shared" si="30"/>
        <v>31741.94</v>
      </c>
      <c r="L67" s="719">
        <f>SUM(E67:K67)</f>
        <v>46636507.329999998</v>
      </c>
    </row>
    <row r="68" spans="1:12" ht="18.75" customHeight="1" x14ac:dyDescent="0.3">
      <c r="A68" s="713"/>
      <c r="B68" s="541"/>
      <c r="C68" s="541"/>
      <c r="D68" s="540" t="s">
        <v>239</v>
      </c>
      <c r="E68" s="542">
        <f t="shared" ref="E68:K68" si="31">SUM(E59-E66)</f>
        <v>16818055.770000003</v>
      </c>
      <c r="F68" s="542">
        <f t="shared" si="31"/>
        <v>499360</v>
      </c>
      <c r="G68" s="542">
        <f t="shared" si="31"/>
        <v>633931.84000000008</v>
      </c>
      <c r="H68" s="542">
        <f t="shared" si="31"/>
        <v>451480.97</v>
      </c>
      <c r="I68" s="542">
        <f t="shared" si="31"/>
        <v>692406.03</v>
      </c>
      <c r="J68" s="542">
        <f t="shared" si="31"/>
        <v>15000</v>
      </c>
      <c r="K68" s="542">
        <f t="shared" si="31"/>
        <v>-31741.94</v>
      </c>
      <c r="L68" s="720">
        <f>SUM(E68:K68)</f>
        <v>19078492.670000002</v>
      </c>
    </row>
    <row r="69" spans="1:12" ht="18.75" customHeight="1" x14ac:dyDescent="0.3">
      <c r="A69" s="832" t="s">
        <v>240</v>
      </c>
      <c r="B69" s="833"/>
      <c r="C69" s="833"/>
      <c r="D69" s="834"/>
      <c r="E69" s="835"/>
      <c r="F69" s="836"/>
      <c r="G69" s="837"/>
      <c r="H69" s="836"/>
      <c r="I69" s="837"/>
      <c r="J69" s="836"/>
      <c r="K69" s="836"/>
      <c r="L69" s="838">
        <f t="shared" ref="L69" si="32">SUM(E69:K69)</f>
        <v>0</v>
      </c>
    </row>
    <row r="70" spans="1:12" ht="18.75" customHeight="1" x14ac:dyDescent="0.3">
      <c r="A70" s="839"/>
      <c r="B70" s="840"/>
      <c r="C70" s="840"/>
      <c r="D70" s="683"/>
      <c r="E70" s="841"/>
      <c r="F70" s="842"/>
      <c r="G70" s="843"/>
      <c r="H70" s="842"/>
      <c r="I70" s="843"/>
      <c r="J70" s="842"/>
      <c r="K70" s="842"/>
      <c r="L70" s="844">
        <f>SUM(E70:K70)</f>
        <v>0</v>
      </c>
    </row>
    <row r="71" spans="1:12" ht="18.75" customHeight="1" x14ac:dyDescent="0.3">
      <c r="A71" s="839"/>
      <c r="B71" s="840"/>
      <c r="C71" s="840"/>
      <c r="D71" s="683"/>
      <c r="E71" s="841"/>
      <c r="F71" s="842"/>
      <c r="G71" s="843"/>
      <c r="H71" s="842"/>
      <c r="I71" s="843"/>
      <c r="J71" s="842"/>
      <c r="K71" s="842"/>
      <c r="L71" s="844">
        <f t="shared" ref="L71:L74" si="33">SUM(E71:K71)</f>
        <v>0</v>
      </c>
    </row>
    <row r="72" spans="1:12" ht="18.75" customHeight="1" x14ac:dyDescent="0.3">
      <c r="A72" s="839"/>
      <c r="B72" s="840"/>
      <c r="C72" s="840"/>
      <c r="D72" s="683"/>
      <c r="E72" s="841"/>
      <c r="F72" s="842"/>
      <c r="G72" s="843"/>
      <c r="H72" s="842"/>
      <c r="I72" s="843"/>
      <c r="J72" s="842"/>
      <c r="K72" s="842"/>
      <c r="L72" s="844">
        <f t="shared" si="33"/>
        <v>0</v>
      </c>
    </row>
    <row r="73" spans="1:12" ht="18.75" customHeight="1" x14ac:dyDescent="0.3">
      <c r="A73" s="839"/>
      <c r="B73" s="840"/>
      <c r="C73" s="840"/>
      <c r="D73" s="683"/>
      <c r="E73" s="841"/>
      <c r="F73" s="842"/>
      <c r="G73" s="843"/>
      <c r="H73" s="842"/>
      <c r="I73" s="843"/>
      <c r="J73" s="842"/>
      <c r="K73" s="842"/>
      <c r="L73" s="844">
        <f t="shared" si="33"/>
        <v>0</v>
      </c>
    </row>
    <row r="74" spans="1:12" ht="18.75" customHeight="1" x14ac:dyDescent="0.3">
      <c r="A74" s="845"/>
      <c r="B74" s="846"/>
      <c r="C74" s="846"/>
      <c r="D74" s="847"/>
      <c r="E74" s="848"/>
      <c r="F74" s="849"/>
      <c r="G74" s="850"/>
      <c r="H74" s="849"/>
      <c r="I74" s="850"/>
      <c r="J74" s="849"/>
      <c r="K74" s="849"/>
      <c r="L74" s="851">
        <f t="shared" si="33"/>
        <v>0</v>
      </c>
    </row>
    <row r="75" spans="1:12" ht="18.75" customHeight="1" x14ac:dyDescent="0.3">
      <c r="A75" s="711"/>
      <c r="B75" s="535"/>
      <c r="C75" s="535"/>
      <c r="D75" s="534" t="s">
        <v>241</v>
      </c>
      <c r="E75" s="536">
        <f t="shared" ref="E75:K75" si="34">SUM(E69:E74)</f>
        <v>0</v>
      </c>
      <c r="F75" s="536">
        <f t="shared" si="34"/>
        <v>0</v>
      </c>
      <c r="G75" s="536">
        <f t="shared" si="34"/>
        <v>0</v>
      </c>
      <c r="H75" s="536">
        <f t="shared" si="34"/>
        <v>0</v>
      </c>
      <c r="I75" s="536">
        <f t="shared" si="34"/>
        <v>0</v>
      </c>
      <c r="J75" s="536">
        <f t="shared" si="34"/>
        <v>0</v>
      </c>
      <c r="K75" s="536">
        <f t="shared" si="34"/>
        <v>0</v>
      </c>
      <c r="L75" s="718">
        <f>SUM(E75:K75)</f>
        <v>0</v>
      </c>
    </row>
    <row r="76" spans="1:12" ht="18.75" customHeight="1" x14ac:dyDescent="0.3">
      <c r="A76" s="712"/>
      <c r="B76" s="538"/>
      <c r="C76" s="538"/>
      <c r="D76" s="537" t="s">
        <v>242</v>
      </c>
      <c r="E76" s="539">
        <f t="shared" ref="E76:K76" si="35">SUM(E67+E75)</f>
        <v>41632144.230000004</v>
      </c>
      <c r="F76" s="539">
        <f t="shared" si="35"/>
        <v>951440</v>
      </c>
      <c r="G76" s="539">
        <f t="shared" si="35"/>
        <v>1523068.16</v>
      </c>
      <c r="H76" s="539">
        <f t="shared" si="35"/>
        <v>934519.03</v>
      </c>
      <c r="I76" s="539">
        <f t="shared" si="35"/>
        <v>1443593.97</v>
      </c>
      <c r="J76" s="539">
        <f t="shared" si="35"/>
        <v>120000</v>
      </c>
      <c r="K76" s="539">
        <f t="shared" si="35"/>
        <v>31741.94</v>
      </c>
      <c r="L76" s="719">
        <f>SUM(E76:K76)</f>
        <v>46636507.329999998</v>
      </c>
    </row>
    <row r="77" spans="1:12" ht="18.75" customHeight="1" x14ac:dyDescent="0.3">
      <c r="A77" s="713"/>
      <c r="B77" s="541"/>
      <c r="C77" s="541"/>
      <c r="D77" s="540" t="s">
        <v>243</v>
      </c>
      <c r="E77" s="542">
        <f t="shared" ref="E77:K77" si="36">SUM(E68-E75)</f>
        <v>16818055.770000003</v>
      </c>
      <c r="F77" s="542">
        <f t="shared" si="36"/>
        <v>499360</v>
      </c>
      <c r="G77" s="542">
        <f t="shared" si="36"/>
        <v>633931.84000000008</v>
      </c>
      <c r="H77" s="542">
        <f t="shared" si="36"/>
        <v>451480.97</v>
      </c>
      <c r="I77" s="542">
        <f t="shared" si="36"/>
        <v>692406.03</v>
      </c>
      <c r="J77" s="542">
        <f t="shared" si="36"/>
        <v>15000</v>
      </c>
      <c r="K77" s="542">
        <f t="shared" si="36"/>
        <v>-31741.94</v>
      </c>
      <c r="L77" s="720">
        <f>SUM(E77:K77)</f>
        <v>19078492.670000002</v>
      </c>
    </row>
    <row r="78" spans="1:12" ht="18.75" customHeight="1" x14ac:dyDescent="0.3">
      <c r="A78" s="832" t="s">
        <v>244</v>
      </c>
      <c r="B78" s="833"/>
      <c r="C78" s="833"/>
      <c r="D78" s="834"/>
      <c r="E78" s="835"/>
      <c r="F78" s="836"/>
      <c r="G78" s="837"/>
      <c r="H78" s="836"/>
      <c r="I78" s="837"/>
      <c r="J78" s="836"/>
      <c r="K78" s="836"/>
      <c r="L78" s="838">
        <f t="shared" ref="L78" si="37">SUM(E78:K78)</f>
        <v>0</v>
      </c>
    </row>
    <row r="79" spans="1:12" ht="18.75" customHeight="1" x14ac:dyDescent="0.3">
      <c r="A79" s="839"/>
      <c r="B79" s="840"/>
      <c r="C79" s="840"/>
      <c r="D79" s="683"/>
      <c r="E79" s="841"/>
      <c r="F79" s="842"/>
      <c r="G79" s="843"/>
      <c r="H79" s="842"/>
      <c r="I79" s="843"/>
      <c r="J79" s="842"/>
      <c r="K79" s="842"/>
      <c r="L79" s="844">
        <f>SUM(E79:K79)</f>
        <v>0</v>
      </c>
    </row>
    <row r="80" spans="1:12" ht="18.75" customHeight="1" x14ac:dyDescent="0.3">
      <c r="A80" s="839"/>
      <c r="B80" s="840"/>
      <c r="C80" s="840"/>
      <c r="D80" s="683"/>
      <c r="E80" s="841"/>
      <c r="F80" s="842"/>
      <c r="G80" s="843"/>
      <c r="H80" s="842"/>
      <c r="I80" s="843"/>
      <c r="J80" s="842"/>
      <c r="K80" s="842"/>
      <c r="L80" s="844">
        <f t="shared" ref="L80:L83" si="38">SUM(E80:K80)</f>
        <v>0</v>
      </c>
    </row>
    <row r="81" spans="1:12" ht="18.75" customHeight="1" x14ac:dyDescent="0.3">
      <c r="A81" s="839"/>
      <c r="B81" s="840"/>
      <c r="C81" s="840"/>
      <c r="D81" s="683"/>
      <c r="E81" s="841"/>
      <c r="F81" s="842"/>
      <c r="G81" s="843"/>
      <c r="H81" s="842"/>
      <c r="I81" s="843"/>
      <c r="J81" s="842"/>
      <c r="K81" s="842"/>
      <c r="L81" s="844">
        <f t="shared" si="38"/>
        <v>0</v>
      </c>
    </row>
    <row r="82" spans="1:12" ht="18.75" customHeight="1" x14ac:dyDescent="0.3">
      <c r="A82" s="839"/>
      <c r="B82" s="840"/>
      <c r="C82" s="840"/>
      <c r="D82" s="683"/>
      <c r="E82" s="841"/>
      <c r="F82" s="842"/>
      <c r="G82" s="843"/>
      <c r="H82" s="842"/>
      <c r="I82" s="843"/>
      <c r="J82" s="842"/>
      <c r="K82" s="842"/>
      <c r="L82" s="844">
        <f t="shared" si="38"/>
        <v>0</v>
      </c>
    </row>
    <row r="83" spans="1:12" ht="18.75" customHeight="1" x14ac:dyDescent="0.3">
      <c r="A83" s="845"/>
      <c r="B83" s="846"/>
      <c r="C83" s="846"/>
      <c r="D83" s="847"/>
      <c r="E83" s="848"/>
      <c r="F83" s="849"/>
      <c r="G83" s="850"/>
      <c r="H83" s="849"/>
      <c r="I83" s="850"/>
      <c r="J83" s="849"/>
      <c r="K83" s="849"/>
      <c r="L83" s="851">
        <f t="shared" si="38"/>
        <v>0</v>
      </c>
    </row>
    <row r="84" spans="1:12" ht="18.75" customHeight="1" x14ac:dyDescent="0.3">
      <c r="A84" s="711"/>
      <c r="B84" s="535"/>
      <c r="C84" s="535"/>
      <c r="D84" s="534" t="s">
        <v>245</v>
      </c>
      <c r="E84" s="536">
        <f t="shared" ref="E84:K84" si="39">SUM(E78:E83)</f>
        <v>0</v>
      </c>
      <c r="F84" s="536">
        <f t="shared" si="39"/>
        <v>0</v>
      </c>
      <c r="G84" s="536">
        <f t="shared" si="39"/>
        <v>0</v>
      </c>
      <c r="H84" s="536">
        <f t="shared" si="39"/>
        <v>0</v>
      </c>
      <c r="I84" s="536">
        <f t="shared" si="39"/>
        <v>0</v>
      </c>
      <c r="J84" s="536">
        <f t="shared" si="39"/>
        <v>0</v>
      </c>
      <c r="K84" s="536">
        <f t="shared" si="39"/>
        <v>0</v>
      </c>
      <c r="L84" s="718">
        <f>SUM(E84:K84)</f>
        <v>0</v>
      </c>
    </row>
    <row r="85" spans="1:12" ht="18.75" customHeight="1" x14ac:dyDescent="0.3">
      <c r="A85" s="712"/>
      <c r="B85" s="538"/>
      <c r="C85" s="538"/>
      <c r="D85" s="537" t="s">
        <v>246</v>
      </c>
      <c r="E85" s="539">
        <f t="shared" ref="E85:K85" si="40">SUM(E76+E84)</f>
        <v>41632144.230000004</v>
      </c>
      <c r="F85" s="539">
        <f t="shared" si="40"/>
        <v>951440</v>
      </c>
      <c r="G85" s="539">
        <f t="shared" si="40"/>
        <v>1523068.16</v>
      </c>
      <c r="H85" s="539">
        <f t="shared" si="40"/>
        <v>934519.03</v>
      </c>
      <c r="I85" s="539">
        <f t="shared" si="40"/>
        <v>1443593.97</v>
      </c>
      <c r="J85" s="539">
        <f t="shared" si="40"/>
        <v>120000</v>
      </c>
      <c r="K85" s="539">
        <f t="shared" si="40"/>
        <v>31741.94</v>
      </c>
      <c r="L85" s="719">
        <f>SUM(E85:K85)</f>
        <v>46636507.329999998</v>
      </c>
    </row>
    <row r="86" spans="1:12" ht="18.75" customHeight="1" x14ac:dyDescent="0.3">
      <c r="A86" s="713"/>
      <c r="B86" s="541"/>
      <c r="C86" s="541"/>
      <c r="D86" s="540" t="s">
        <v>247</v>
      </c>
      <c r="E86" s="542">
        <f t="shared" ref="E86:K86" si="41">SUM(E77-E84)</f>
        <v>16818055.770000003</v>
      </c>
      <c r="F86" s="542">
        <f t="shared" si="41"/>
        <v>499360</v>
      </c>
      <c r="G86" s="542">
        <f t="shared" si="41"/>
        <v>633931.84000000008</v>
      </c>
      <c r="H86" s="542">
        <f t="shared" si="41"/>
        <v>451480.97</v>
      </c>
      <c r="I86" s="542">
        <f t="shared" si="41"/>
        <v>692406.03</v>
      </c>
      <c r="J86" s="542">
        <f t="shared" si="41"/>
        <v>15000</v>
      </c>
      <c r="K86" s="542">
        <f t="shared" si="41"/>
        <v>-31741.94</v>
      </c>
      <c r="L86" s="720">
        <f>SUM(E86:K86)</f>
        <v>19078492.670000002</v>
      </c>
    </row>
    <row r="87" spans="1:12" ht="18.75" customHeight="1" x14ac:dyDescent="0.3">
      <c r="A87" s="832" t="s">
        <v>248</v>
      </c>
      <c r="B87" s="833"/>
      <c r="C87" s="833"/>
      <c r="D87" s="834"/>
      <c r="E87" s="835"/>
      <c r="F87" s="836"/>
      <c r="G87" s="837"/>
      <c r="H87" s="836"/>
      <c r="I87" s="837"/>
      <c r="J87" s="836"/>
      <c r="K87" s="836"/>
      <c r="L87" s="838">
        <f t="shared" ref="L87" si="42">SUM(E87:K87)</f>
        <v>0</v>
      </c>
    </row>
    <row r="88" spans="1:12" ht="18.75" customHeight="1" x14ac:dyDescent="0.3">
      <c r="A88" s="839"/>
      <c r="B88" s="840"/>
      <c r="C88" s="840"/>
      <c r="D88" s="683"/>
      <c r="E88" s="841"/>
      <c r="F88" s="842"/>
      <c r="G88" s="843"/>
      <c r="H88" s="842"/>
      <c r="I88" s="843"/>
      <c r="J88" s="842"/>
      <c r="K88" s="842"/>
      <c r="L88" s="844">
        <f>SUM(E88:K88)</f>
        <v>0</v>
      </c>
    </row>
    <row r="89" spans="1:12" ht="18.75" customHeight="1" x14ac:dyDescent="0.3">
      <c r="A89" s="839"/>
      <c r="B89" s="840"/>
      <c r="C89" s="840"/>
      <c r="D89" s="683"/>
      <c r="E89" s="841"/>
      <c r="F89" s="842"/>
      <c r="G89" s="843"/>
      <c r="H89" s="842"/>
      <c r="I89" s="843"/>
      <c r="J89" s="842"/>
      <c r="K89" s="842"/>
      <c r="L89" s="844">
        <f t="shared" ref="L89:L92" si="43">SUM(E89:K89)</f>
        <v>0</v>
      </c>
    </row>
    <row r="90" spans="1:12" ht="18.75" customHeight="1" x14ac:dyDescent="0.3">
      <c r="A90" s="839"/>
      <c r="B90" s="840"/>
      <c r="C90" s="840"/>
      <c r="D90" s="683"/>
      <c r="E90" s="841"/>
      <c r="F90" s="842"/>
      <c r="G90" s="843"/>
      <c r="H90" s="842"/>
      <c r="I90" s="843"/>
      <c r="J90" s="842"/>
      <c r="K90" s="842"/>
      <c r="L90" s="844">
        <f t="shared" si="43"/>
        <v>0</v>
      </c>
    </row>
    <row r="91" spans="1:12" ht="18.75" customHeight="1" x14ac:dyDescent="0.3">
      <c r="A91" s="839"/>
      <c r="B91" s="840"/>
      <c r="C91" s="840"/>
      <c r="D91" s="683"/>
      <c r="E91" s="841"/>
      <c r="F91" s="842"/>
      <c r="G91" s="843"/>
      <c r="H91" s="842"/>
      <c r="I91" s="843"/>
      <c r="J91" s="842"/>
      <c r="K91" s="842"/>
      <c r="L91" s="844">
        <f t="shared" si="43"/>
        <v>0</v>
      </c>
    </row>
    <row r="92" spans="1:12" ht="18.75" customHeight="1" x14ac:dyDescent="0.3">
      <c r="A92" s="845"/>
      <c r="B92" s="846"/>
      <c r="C92" s="846"/>
      <c r="D92" s="847"/>
      <c r="E92" s="848"/>
      <c r="F92" s="849"/>
      <c r="G92" s="850"/>
      <c r="H92" s="849"/>
      <c r="I92" s="850"/>
      <c r="J92" s="849"/>
      <c r="K92" s="849"/>
      <c r="L92" s="851">
        <f t="shared" si="43"/>
        <v>0</v>
      </c>
    </row>
    <row r="93" spans="1:12" ht="18.75" customHeight="1" x14ac:dyDescent="0.3">
      <c r="A93" s="711"/>
      <c r="B93" s="535"/>
      <c r="C93" s="535"/>
      <c r="D93" s="534" t="s">
        <v>249</v>
      </c>
      <c r="E93" s="536">
        <f t="shared" ref="E93:K93" si="44">SUM(E87:E92)</f>
        <v>0</v>
      </c>
      <c r="F93" s="536">
        <f t="shared" si="44"/>
        <v>0</v>
      </c>
      <c r="G93" s="536">
        <f t="shared" si="44"/>
        <v>0</v>
      </c>
      <c r="H93" s="536">
        <f t="shared" si="44"/>
        <v>0</v>
      </c>
      <c r="I93" s="536">
        <f t="shared" si="44"/>
        <v>0</v>
      </c>
      <c r="J93" s="536">
        <f t="shared" si="44"/>
        <v>0</v>
      </c>
      <c r="K93" s="536">
        <f t="shared" si="44"/>
        <v>0</v>
      </c>
      <c r="L93" s="718">
        <f>SUM(E93:K93)</f>
        <v>0</v>
      </c>
    </row>
    <row r="94" spans="1:12" ht="18.75" customHeight="1" x14ac:dyDescent="0.3">
      <c r="A94" s="712"/>
      <c r="B94" s="538"/>
      <c r="C94" s="538"/>
      <c r="D94" s="537" t="s">
        <v>250</v>
      </c>
      <c r="E94" s="539">
        <f t="shared" ref="E94:K94" si="45">SUM(E85+E93)</f>
        <v>41632144.230000004</v>
      </c>
      <c r="F94" s="539">
        <f t="shared" si="45"/>
        <v>951440</v>
      </c>
      <c r="G94" s="539">
        <f t="shared" si="45"/>
        <v>1523068.16</v>
      </c>
      <c r="H94" s="539">
        <f t="shared" si="45"/>
        <v>934519.03</v>
      </c>
      <c r="I94" s="539">
        <f t="shared" si="45"/>
        <v>1443593.97</v>
      </c>
      <c r="J94" s="539">
        <f t="shared" si="45"/>
        <v>120000</v>
      </c>
      <c r="K94" s="539">
        <f t="shared" si="45"/>
        <v>31741.94</v>
      </c>
      <c r="L94" s="719">
        <f>SUM(E94:K94)</f>
        <v>46636507.329999998</v>
      </c>
    </row>
    <row r="95" spans="1:12" ht="18.75" customHeight="1" x14ac:dyDescent="0.3">
      <c r="A95" s="713"/>
      <c r="B95" s="541"/>
      <c r="C95" s="541"/>
      <c r="D95" s="540" t="s">
        <v>251</v>
      </c>
      <c r="E95" s="542">
        <f t="shared" ref="E95:K95" si="46">SUM(E86-E93)</f>
        <v>16818055.770000003</v>
      </c>
      <c r="F95" s="542">
        <f t="shared" si="46"/>
        <v>499360</v>
      </c>
      <c r="G95" s="542">
        <f t="shared" si="46"/>
        <v>633931.84000000008</v>
      </c>
      <c r="H95" s="542">
        <f t="shared" si="46"/>
        <v>451480.97</v>
      </c>
      <c r="I95" s="542">
        <f t="shared" si="46"/>
        <v>692406.03</v>
      </c>
      <c r="J95" s="542">
        <f t="shared" si="46"/>
        <v>15000</v>
      </c>
      <c r="K95" s="542">
        <f t="shared" si="46"/>
        <v>-31741.94</v>
      </c>
      <c r="L95" s="720">
        <f>SUM(E95:K95)</f>
        <v>19078492.670000002</v>
      </c>
    </row>
    <row r="96" spans="1:12" ht="18.75" customHeight="1" x14ac:dyDescent="0.3">
      <c r="A96" s="832" t="s">
        <v>252</v>
      </c>
      <c r="B96" s="833"/>
      <c r="C96" s="833"/>
      <c r="D96" s="834"/>
      <c r="E96" s="835"/>
      <c r="F96" s="836"/>
      <c r="G96" s="837"/>
      <c r="H96" s="836"/>
      <c r="I96" s="837"/>
      <c r="J96" s="836"/>
      <c r="K96" s="836"/>
      <c r="L96" s="838">
        <f t="shared" ref="L96" si="47">SUM(E96:K96)</f>
        <v>0</v>
      </c>
    </row>
    <row r="97" spans="1:12" ht="18.75" customHeight="1" x14ac:dyDescent="0.3">
      <c r="A97" s="839"/>
      <c r="B97" s="840"/>
      <c r="C97" s="840"/>
      <c r="D97" s="683"/>
      <c r="E97" s="841"/>
      <c r="F97" s="842"/>
      <c r="G97" s="843"/>
      <c r="H97" s="842"/>
      <c r="I97" s="843"/>
      <c r="J97" s="842"/>
      <c r="K97" s="842"/>
      <c r="L97" s="844">
        <f>SUM(E97:K97)</f>
        <v>0</v>
      </c>
    </row>
    <row r="98" spans="1:12" ht="18.75" customHeight="1" x14ac:dyDescent="0.3">
      <c r="A98" s="839"/>
      <c r="B98" s="840"/>
      <c r="C98" s="840"/>
      <c r="D98" s="683"/>
      <c r="E98" s="841"/>
      <c r="F98" s="842"/>
      <c r="G98" s="843"/>
      <c r="H98" s="842"/>
      <c r="I98" s="843"/>
      <c r="J98" s="842"/>
      <c r="K98" s="842"/>
      <c r="L98" s="844">
        <f t="shared" ref="L98:L101" si="48">SUM(E98:K98)</f>
        <v>0</v>
      </c>
    </row>
    <row r="99" spans="1:12" ht="18.75" customHeight="1" x14ac:dyDescent="0.3">
      <c r="A99" s="839"/>
      <c r="B99" s="840"/>
      <c r="C99" s="840"/>
      <c r="D99" s="683"/>
      <c r="E99" s="841"/>
      <c r="F99" s="842"/>
      <c r="G99" s="843"/>
      <c r="H99" s="842"/>
      <c r="I99" s="843"/>
      <c r="J99" s="842"/>
      <c r="K99" s="842"/>
      <c r="L99" s="844">
        <f t="shared" si="48"/>
        <v>0</v>
      </c>
    </row>
    <row r="100" spans="1:12" ht="18.75" customHeight="1" x14ac:dyDescent="0.3">
      <c r="A100" s="839"/>
      <c r="B100" s="840"/>
      <c r="C100" s="840"/>
      <c r="D100" s="683"/>
      <c r="E100" s="841"/>
      <c r="F100" s="842"/>
      <c r="G100" s="843"/>
      <c r="H100" s="842"/>
      <c r="I100" s="843"/>
      <c r="J100" s="842"/>
      <c r="K100" s="842"/>
      <c r="L100" s="844">
        <f t="shared" si="48"/>
        <v>0</v>
      </c>
    </row>
    <row r="101" spans="1:12" ht="18.75" customHeight="1" x14ac:dyDescent="0.3">
      <c r="A101" s="845"/>
      <c r="B101" s="846"/>
      <c r="C101" s="846"/>
      <c r="D101" s="847"/>
      <c r="E101" s="848"/>
      <c r="F101" s="849"/>
      <c r="G101" s="850"/>
      <c r="H101" s="849"/>
      <c r="I101" s="850"/>
      <c r="J101" s="849"/>
      <c r="K101" s="849"/>
      <c r="L101" s="851">
        <f t="shared" si="48"/>
        <v>0</v>
      </c>
    </row>
    <row r="102" spans="1:12" ht="18.75" customHeight="1" x14ac:dyDescent="0.3">
      <c r="A102" s="711"/>
      <c r="B102" s="535"/>
      <c r="C102" s="535"/>
      <c r="D102" s="534" t="s">
        <v>253</v>
      </c>
      <c r="E102" s="536">
        <f t="shared" ref="E102:K102" si="49">SUM(E96:E101)</f>
        <v>0</v>
      </c>
      <c r="F102" s="536">
        <f t="shared" si="49"/>
        <v>0</v>
      </c>
      <c r="G102" s="536">
        <f t="shared" si="49"/>
        <v>0</v>
      </c>
      <c r="H102" s="536">
        <f t="shared" si="49"/>
        <v>0</v>
      </c>
      <c r="I102" s="536">
        <f t="shared" si="49"/>
        <v>0</v>
      </c>
      <c r="J102" s="536">
        <f t="shared" si="49"/>
        <v>0</v>
      </c>
      <c r="K102" s="536">
        <f t="shared" si="49"/>
        <v>0</v>
      </c>
      <c r="L102" s="718">
        <f>SUM(E102:K102)</f>
        <v>0</v>
      </c>
    </row>
    <row r="103" spans="1:12" ht="18.75" customHeight="1" x14ac:dyDescent="0.3">
      <c r="A103" s="712"/>
      <c r="B103" s="538"/>
      <c r="C103" s="538"/>
      <c r="D103" s="537" t="s">
        <v>254</v>
      </c>
      <c r="E103" s="539">
        <f t="shared" ref="E103:K103" si="50">SUM(E94+E102)</f>
        <v>41632144.230000004</v>
      </c>
      <c r="F103" s="539">
        <f t="shared" si="50"/>
        <v>951440</v>
      </c>
      <c r="G103" s="539">
        <f t="shared" si="50"/>
        <v>1523068.16</v>
      </c>
      <c r="H103" s="539">
        <f t="shared" si="50"/>
        <v>934519.03</v>
      </c>
      <c r="I103" s="539">
        <f t="shared" si="50"/>
        <v>1443593.97</v>
      </c>
      <c r="J103" s="539">
        <f t="shared" si="50"/>
        <v>120000</v>
      </c>
      <c r="K103" s="539">
        <f t="shared" si="50"/>
        <v>31741.94</v>
      </c>
      <c r="L103" s="719">
        <f>SUM(E103:K103)</f>
        <v>46636507.329999998</v>
      </c>
    </row>
    <row r="104" spans="1:12" ht="18.75" customHeight="1" x14ac:dyDescent="0.3">
      <c r="A104" s="713"/>
      <c r="B104" s="541"/>
      <c r="C104" s="541"/>
      <c r="D104" s="540" t="s">
        <v>255</v>
      </c>
      <c r="E104" s="542">
        <f t="shared" ref="E104:K104" si="51">SUM(E95-E102)</f>
        <v>16818055.770000003</v>
      </c>
      <c r="F104" s="542">
        <f t="shared" si="51"/>
        <v>499360</v>
      </c>
      <c r="G104" s="542">
        <f t="shared" si="51"/>
        <v>633931.84000000008</v>
      </c>
      <c r="H104" s="542">
        <f t="shared" si="51"/>
        <v>451480.97</v>
      </c>
      <c r="I104" s="542">
        <f t="shared" si="51"/>
        <v>692406.03</v>
      </c>
      <c r="J104" s="542">
        <f t="shared" si="51"/>
        <v>15000</v>
      </c>
      <c r="K104" s="542">
        <f t="shared" si="51"/>
        <v>-31741.94</v>
      </c>
      <c r="L104" s="720">
        <f>SUM(E104:K104)</f>
        <v>19078492.670000002</v>
      </c>
    </row>
    <row r="105" spans="1:12" ht="18.75" customHeight="1" x14ac:dyDescent="0.3">
      <c r="A105" s="832" t="s">
        <v>256</v>
      </c>
      <c r="B105" s="833"/>
      <c r="C105" s="833"/>
      <c r="D105" s="834"/>
      <c r="E105" s="835"/>
      <c r="F105" s="836"/>
      <c r="G105" s="837"/>
      <c r="H105" s="836"/>
      <c r="I105" s="837"/>
      <c r="J105" s="836"/>
      <c r="K105" s="836"/>
      <c r="L105" s="838">
        <f t="shared" ref="L105" si="52">SUM(E105:K105)</f>
        <v>0</v>
      </c>
    </row>
    <row r="106" spans="1:12" ht="18.75" customHeight="1" x14ac:dyDescent="0.3">
      <c r="A106" s="839"/>
      <c r="B106" s="840"/>
      <c r="C106" s="840"/>
      <c r="D106" s="683"/>
      <c r="E106" s="841"/>
      <c r="F106" s="842"/>
      <c r="G106" s="843"/>
      <c r="H106" s="842"/>
      <c r="I106" s="843"/>
      <c r="J106" s="842"/>
      <c r="K106" s="842"/>
      <c r="L106" s="844">
        <f>SUM(E106:K106)</f>
        <v>0</v>
      </c>
    </row>
    <row r="107" spans="1:12" ht="18.75" customHeight="1" x14ac:dyDescent="0.3">
      <c r="A107" s="839"/>
      <c r="B107" s="840"/>
      <c r="C107" s="840"/>
      <c r="D107" s="683"/>
      <c r="E107" s="841"/>
      <c r="F107" s="842"/>
      <c r="G107" s="843"/>
      <c r="H107" s="842"/>
      <c r="I107" s="843"/>
      <c r="J107" s="842"/>
      <c r="K107" s="842"/>
      <c r="L107" s="844">
        <f t="shared" ref="L107:L110" si="53">SUM(E107:K107)</f>
        <v>0</v>
      </c>
    </row>
    <row r="108" spans="1:12" ht="18.75" customHeight="1" x14ac:dyDescent="0.3">
      <c r="A108" s="839"/>
      <c r="B108" s="840"/>
      <c r="C108" s="840"/>
      <c r="D108" s="683"/>
      <c r="E108" s="841"/>
      <c r="F108" s="842"/>
      <c r="G108" s="843"/>
      <c r="H108" s="842"/>
      <c r="I108" s="843"/>
      <c r="J108" s="842"/>
      <c r="K108" s="842"/>
      <c r="L108" s="844">
        <f t="shared" si="53"/>
        <v>0</v>
      </c>
    </row>
    <row r="109" spans="1:12" ht="18.75" customHeight="1" x14ac:dyDescent="0.3">
      <c r="A109" s="839"/>
      <c r="B109" s="840"/>
      <c r="C109" s="840"/>
      <c r="D109" s="683"/>
      <c r="E109" s="841"/>
      <c r="F109" s="842"/>
      <c r="G109" s="843"/>
      <c r="H109" s="842"/>
      <c r="I109" s="843"/>
      <c r="J109" s="842"/>
      <c r="K109" s="842"/>
      <c r="L109" s="844">
        <f t="shared" si="53"/>
        <v>0</v>
      </c>
    </row>
    <row r="110" spans="1:12" ht="18.75" customHeight="1" x14ac:dyDescent="0.3">
      <c r="A110" s="845"/>
      <c r="B110" s="846"/>
      <c r="C110" s="846"/>
      <c r="D110" s="847"/>
      <c r="E110" s="848"/>
      <c r="F110" s="849"/>
      <c r="G110" s="850"/>
      <c r="H110" s="849"/>
      <c r="I110" s="850"/>
      <c r="J110" s="849"/>
      <c r="K110" s="849"/>
      <c r="L110" s="851">
        <f t="shared" si="53"/>
        <v>0</v>
      </c>
    </row>
    <row r="111" spans="1:12" ht="18.75" customHeight="1" x14ac:dyDescent="0.3">
      <c r="A111" s="711"/>
      <c r="B111" s="535"/>
      <c r="C111" s="535"/>
      <c r="D111" s="534" t="s">
        <v>257</v>
      </c>
      <c r="E111" s="536">
        <f t="shared" ref="E111:K111" si="54">SUM(E105:E110)</f>
        <v>0</v>
      </c>
      <c r="F111" s="536">
        <f t="shared" si="54"/>
        <v>0</v>
      </c>
      <c r="G111" s="536">
        <f t="shared" si="54"/>
        <v>0</v>
      </c>
      <c r="H111" s="536">
        <f t="shared" si="54"/>
        <v>0</v>
      </c>
      <c r="I111" s="536">
        <f t="shared" si="54"/>
        <v>0</v>
      </c>
      <c r="J111" s="536">
        <f t="shared" si="54"/>
        <v>0</v>
      </c>
      <c r="K111" s="536">
        <f t="shared" si="54"/>
        <v>0</v>
      </c>
      <c r="L111" s="718">
        <f>SUM(E111:K111)</f>
        <v>0</v>
      </c>
    </row>
    <row r="112" spans="1:12" ht="18.75" customHeight="1" x14ac:dyDescent="0.3">
      <c r="A112" s="712"/>
      <c r="B112" s="538"/>
      <c r="C112" s="538"/>
      <c r="D112" s="537" t="s">
        <v>258</v>
      </c>
      <c r="E112" s="539">
        <f t="shared" ref="E112:K112" si="55">SUM(E103+E111)</f>
        <v>41632144.230000004</v>
      </c>
      <c r="F112" s="539">
        <f t="shared" si="55"/>
        <v>951440</v>
      </c>
      <c r="G112" s="539">
        <f t="shared" si="55"/>
        <v>1523068.16</v>
      </c>
      <c r="H112" s="539">
        <f t="shared" si="55"/>
        <v>934519.03</v>
      </c>
      <c r="I112" s="539">
        <f t="shared" si="55"/>
        <v>1443593.97</v>
      </c>
      <c r="J112" s="539">
        <f t="shared" si="55"/>
        <v>120000</v>
      </c>
      <c r="K112" s="539">
        <f t="shared" si="55"/>
        <v>31741.94</v>
      </c>
      <c r="L112" s="719">
        <f>SUM(E112:K112)</f>
        <v>46636507.329999998</v>
      </c>
    </row>
    <row r="113" spans="1:12" ht="18.75" customHeight="1" x14ac:dyDescent="0.3">
      <c r="A113" s="713"/>
      <c r="B113" s="541"/>
      <c r="C113" s="541"/>
      <c r="D113" s="540" t="s">
        <v>259</v>
      </c>
      <c r="E113" s="542">
        <f t="shared" ref="E113:K113" si="56">SUM(E104-E111)</f>
        <v>16818055.770000003</v>
      </c>
      <c r="F113" s="542">
        <f t="shared" si="56"/>
        <v>499360</v>
      </c>
      <c r="G113" s="542">
        <f t="shared" si="56"/>
        <v>633931.84000000008</v>
      </c>
      <c r="H113" s="542">
        <f t="shared" si="56"/>
        <v>451480.97</v>
      </c>
      <c r="I113" s="542">
        <f t="shared" si="56"/>
        <v>692406.03</v>
      </c>
      <c r="J113" s="542">
        <f t="shared" si="56"/>
        <v>15000</v>
      </c>
      <c r="K113" s="542">
        <f t="shared" si="56"/>
        <v>-31741.94</v>
      </c>
      <c r="L113" s="720">
        <f>SUM(E113:K113)</f>
        <v>19078492.670000002</v>
      </c>
    </row>
  </sheetData>
  <autoFilter ref="A2:L2" xr:uid="{00000000-0009-0000-0000-000003000000}"/>
  <mergeCells count="1">
    <mergeCell ref="H1:K1"/>
  </mergeCells>
  <conditionalFormatting sqref="A7:K7">
    <cfRule type="cellIs" dxfId="708" priority="3" stopIfTrue="1" operator="lessThan">
      <formula>0</formula>
    </cfRule>
  </conditionalFormatting>
  <conditionalFormatting sqref="A7:K7">
    <cfRule type="cellIs" dxfId="707" priority="4" operator="lessThan">
      <formula>0</formula>
    </cfRule>
  </conditionalFormatting>
  <conditionalFormatting sqref="A105:L110">
    <cfRule type="cellIs" dxfId="706" priority="5" stopIfTrue="1" operator="lessThan">
      <formula>0</formula>
    </cfRule>
    <cfRule type="cellIs" dxfId="705" priority="6" operator="lessThan">
      <formula>0</formula>
    </cfRule>
  </conditionalFormatting>
  <conditionalFormatting sqref="A1:R6 A8:R15 L7:R7 A17:R104 B16:R16">
    <cfRule type="cellIs" dxfId="704" priority="7" stopIfTrue="1" operator="lessThan">
      <formula>0</formula>
    </cfRule>
  </conditionalFormatting>
  <conditionalFormatting sqref="A51:R104">
    <cfRule type="cellIs" dxfId="703" priority="8" operator="lessThan">
      <formula>0</formula>
    </cfRule>
  </conditionalFormatting>
  <conditionalFormatting sqref="E4:K4 E39:L50 E57:L59 E66:L68">
    <cfRule type="cellIs" dxfId="702" priority="15" stopIfTrue="1" operator="lessThan">
      <formula>0</formula>
    </cfRule>
  </conditionalFormatting>
  <conditionalFormatting sqref="E17:K33">
    <cfRule type="cellIs" dxfId="701" priority="16" stopIfTrue="1" operator="lessThan">
      <formula>0</formula>
    </cfRule>
  </conditionalFormatting>
  <conditionalFormatting sqref="E35:K38">
    <cfRule type="cellIs" dxfId="700" priority="17" stopIfTrue="1" operator="lessThan">
      <formula>0</formula>
    </cfRule>
  </conditionalFormatting>
  <conditionalFormatting sqref="E42:K42">
    <cfRule type="cellIs" dxfId="699" priority="9" stopIfTrue="1" operator="lessThan">
      <formula>0</formula>
    </cfRule>
  </conditionalFormatting>
  <conditionalFormatting sqref="E44:K47">
    <cfRule type="cellIs" dxfId="698" priority="10" stopIfTrue="1" operator="lessThan">
      <formula>0</formula>
    </cfRule>
  </conditionalFormatting>
  <conditionalFormatting sqref="E13:L14">
    <cfRule type="cellIs" dxfId="697" priority="18" stopIfTrue="1" operator="lessThan">
      <formula>0</formula>
    </cfRule>
    <cfRule type="cellIs" dxfId="696" priority="19" stopIfTrue="1" operator="lessThan">
      <formula>0</formula>
    </cfRule>
  </conditionalFormatting>
  <conditionalFormatting sqref="E15:L16 L17:L38">
    <cfRule type="cellIs" dxfId="695" priority="20" stopIfTrue="1" operator="lessThan">
      <formula>0</formula>
    </cfRule>
  </conditionalFormatting>
  <conditionalFormatting sqref="E25:L25 L26:L29">
    <cfRule type="cellIs" dxfId="694" priority="12" stopIfTrue="1" operator="lessThan">
      <formula>0</formula>
    </cfRule>
  </conditionalFormatting>
  <conditionalFormatting sqref="E93:L95">
    <cfRule type="cellIs" dxfId="693" priority="21" stopIfTrue="1" operator="lessThan">
      <formula>0</formula>
    </cfRule>
  </conditionalFormatting>
  <conditionalFormatting sqref="L42:L47">
    <cfRule type="cellIs" dxfId="692" priority="11" stopIfTrue="1" operator="lessThan">
      <formula>0</formula>
    </cfRule>
  </conditionalFormatting>
  <conditionalFormatting sqref="M105:R107 A1:R6 A8:R15 L7:R7 A17:R50 B16:R16">
    <cfRule type="cellIs" dxfId="691" priority="14" operator="lessThan">
      <formula>0</formula>
    </cfRule>
  </conditionalFormatting>
  <conditionalFormatting sqref="M105:R107 E111:L113">
    <cfRule type="cellIs" dxfId="690" priority="13" stopIfTrue="1" operator="lessThan">
      <formula>0</formula>
    </cfRule>
  </conditionalFormatting>
  <conditionalFormatting sqref="A16">
    <cfRule type="cellIs" dxfId="689" priority="1" stopIfTrue="1" operator="lessThan">
      <formula>0</formula>
    </cfRule>
  </conditionalFormatting>
  <conditionalFormatting sqref="A16">
    <cfRule type="cellIs" dxfId="688" priority="2" operator="lessThan">
      <formula>0</formula>
    </cfRule>
  </conditionalFormatting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G103"/>
  <sheetViews>
    <sheetView workbookViewId="0">
      <pane ySplit="5" topLeftCell="A24" activePane="bottomLeft" state="frozen"/>
      <selection pane="bottomLeft" activeCell="E31" sqref="E31"/>
    </sheetView>
  </sheetViews>
  <sheetFormatPr defaultColWidth="14.42578125" defaultRowHeight="15" customHeight="1" x14ac:dyDescent="0.3"/>
  <cols>
    <col min="1" max="1" width="12.28515625" style="714" customWidth="1"/>
    <col min="2" max="2" width="16.42578125" style="1012" customWidth="1"/>
    <col min="3" max="3" width="12.28515625" style="1012" customWidth="1"/>
    <col min="4" max="4" width="66.140625" style="1012" customWidth="1"/>
    <col min="5" max="5" width="16.85546875" style="1012" customWidth="1"/>
    <col min="6" max="6" width="16.85546875" style="721" customWidth="1"/>
    <col min="7" max="7" width="8.7109375" style="1012" customWidth="1"/>
    <col min="8" max="16384" width="14.42578125" style="1012"/>
  </cols>
  <sheetData>
    <row r="1" spans="1:7" ht="18.75" customHeight="1" x14ac:dyDescent="0.3">
      <c r="A1" s="727"/>
      <c r="B1" s="27"/>
      <c r="C1" s="27"/>
      <c r="D1" s="722" t="s">
        <v>1211</v>
      </c>
      <c r="E1" s="4"/>
      <c r="F1" s="756"/>
    </row>
    <row r="2" spans="1:7" ht="37.5" x14ac:dyDescent="0.3">
      <c r="A2" s="1018" t="s">
        <v>201</v>
      </c>
      <c r="B2" s="1019" t="s">
        <v>202</v>
      </c>
      <c r="C2" s="1019" t="s">
        <v>1198</v>
      </c>
      <c r="D2" s="1019" t="s">
        <v>77</v>
      </c>
      <c r="E2" s="1020" t="s">
        <v>1204</v>
      </c>
      <c r="F2" s="1021" t="s">
        <v>208</v>
      </c>
    </row>
    <row r="3" spans="1:7" s="721" customFormat="1" ht="18.75" customHeight="1" x14ac:dyDescent="0.3">
      <c r="A3" s="1022"/>
      <c r="B3" s="724"/>
      <c r="C3" s="1023"/>
      <c r="D3" s="799" t="s">
        <v>209</v>
      </c>
      <c r="E3" s="1024">
        <v>0</v>
      </c>
      <c r="F3" s="890">
        <f>SUM(E3)</f>
        <v>0</v>
      </c>
    </row>
    <row r="4" spans="1:7" s="721" customFormat="1" ht="18.75" customHeight="1" x14ac:dyDescent="0.3">
      <c r="A4" s="1025"/>
      <c r="B4" s="726"/>
      <c r="C4" s="1026"/>
      <c r="D4" s="800" t="s">
        <v>1203</v>
      </c>
      <c r="E4" s="807">
        <v>3413500</v>
      </c>
      <c r="F4" s="891">
        <f>SUM(E4)</f>
        <v>3413500</v>
      </c>
    </row>
    <row r="5" spans="1:7" s="721" customFormat="1" ht="18.75" customHeight="1" x14ac:dyDescent="0.3">
      <c r="A5" s="801"/>
      <c r="B5" s="802"/>
      <c r="C5" s="803"/>
      <c r="D5" s="804" t="s">
        <v>211</v>
      </c>
      <c r="E5" s="805"/>
      <c r="F5" s="806"/>
    </row>
    <row r="6" spans="1:7" ht="18.75" customHeight="1" x14ac:dyDescent="0.3">
      <c r="A6" s="1027" t="s">
        <v>212</v>
      </c>
      <c r="B6" s="27"/>
      <c r="C6" s="1028"/>
      <c r="D6" s="29"/>
      <c r="E6" s="1029"/>
      <c r="F6" s="753"/>
    </row>
    <row r="7" spans="1:7" ht="18.75" customHeight="1" x14ac:dyDescent="0.3">
      <c r="A7" s="957">
        <v>45580</v>
      </c>
      <c r="B7" s="42"/>
      <c r="C7" s="955"/>
      <c r="D7" s="41"/>
      <c r="E7" s="684">
        <v>544360</v>
      </c>
      <c r="F7" s="1030">
        <f>SUM(E7)</f>
        <v>544360</v>
      </c>
      <c r="G7" s="1012" t="s">
        <v>1469</v>
      </c>
    </row>
    <row r="8" spans="1:7" ht="18.75" customHeight="1" x14ac:dyDescent="0.3">
      <c r="A8" s="957"/>
      <c r="B8" s="42"/>
      <c r="C8" s="955"/>
      <c r="D8" s="41"/>
      <c r="E8" s="684"/>
      <c r="F8" s="1030">
        <f t="shared" ref="F8:F9" si="0">SUM(E8)</f>
        <v>0</v>
      </c>
    </row>
    <row r="9" spans="1:7" ht="18.75" customHeight="1" x14ac:dyDescent="0.3">
      <c r="A9" s="957"/>
      <c r="B9" s="42"/>
      <c r="C9" s="955"/>
      <c r="D9" s="41"/>
      <c r="E9" s="684"/>
      <c r="F9" s="1030">
        <f t="shared" si="0"/>
        <v>0</v>
      </c>
    </row>
    <row r="10" spans="1:7" ht="21.75" customHeight="1" x14ac:dyDescent="0.3">
      <c r="A10" s="1031"/>
      <c r="B10" s="1032"/>
      <c r="C10" s="1033"/>
      <c r="D10" s="1034"/>
      <c r="E10" s="916"/>
      <c r="F10" s="1030">
        <f>SUM(E10)</f>
        <v>0</v>
      </c>
    </row>
    <row r="11" spans="1:7" ht="18.75" customHeight="1" x14ac:dyDescent="0.3">
      <c r="A11" s="729"/>
      <c r="B11" s="464"/>
      <c r="C11" s="464"/>
      <c r="D11" s="463" t="s">
        <v>261</v>
      </c>
      <c r="E11" s="521">
        <f>SUM(E6:E10)</f>
        <v>544360</v>
      </c>
      <c r="F11" s="777">
        <f>SUM(E11)</f>
        <v>544360</v>
      </c>
    </row>
    <row r="12" spans="1:7" ht="18.75" customHeight="1" x14ac:dyDescent="0.3">
      <c r="A12" s="729"/>
      <c r="B12" s="464"/>
      <c r="C12" s="464"/>
      <c r="D12" s="463" t="s">
        <v>214</v>
      </c>
      <c r="E12" s="521">
        <f>SUM(E3+E11)</f>
        <v>544360</v>
      </c>
      <c r="F12" s="777">
        <f>SUM(E12)</f>
        <v>544360</v>
      </c>
    </row>
    <row r="13" spans="1:7" ht="18.75" customHeight="1" x14ac:dyDescent="0.3">
      <c r="A13" s="730"/>
      <c r="B13" s="470"/>
      <c r="C13" s="470"/>
      <c r="D13" s="469" t="s">
        <v>215</v>
      </c>
      <c r="E13" s="522">
        <f>SUM(E4-E11)</f>
        <v>2869140</v>
      </c>
      <c r="F13" s="778">
        <f>SUM(E13)</f>
        <v>2869140</v>
      </c>
    </row>
    <row r="14" spans="1:7" ht="18.75" customHeight="1" x14ac:dyDescent="0.3">
      <c r="A14" s="1035" t="s">
        <v>216</v>
      </c>
      <c r="B14" s="42"/>
      <c r="C14" s="955"/>
      <c r="D14" s="41"/>
      <c r="E14" s="684"/>
      <c r="F14" s="753"/>
    </row>
    <row r="15" spans="1:7" ht="18.75" customHeight="1" x14ac:dyDescent="0.3">
      <c r="A15" s="957">
        <v>45609</v>
      </c>
      <c r="B15" s="42"/>
      <c r="C15" s="955"/>
      <c r="D15" s="41"/>
      <c r="E15" s="684">
        <v>544360</v>
      </c>
      <c r="F15" s="1030">
        <f t="shared" ref="F15:F21" si="1">SUM(E15)</f>
        <v>544360</v>
      </c>
    </row>
    <row r="16" spans="1:7" ht="18.75" customHeight="1" x14ac:dyDescent="0.3">
      <c r="A16" s="957"/>
      <c r="B16" s="42"/>
      <c r="C16" s="955"/>
      <c r="D16" s="41"/>
      <c r="E16" s="684"/>
      <c r="F16" s="1030">
        <f t="shared" si="1"/>
        <v>0</v>
      </c>
    </row>
    <row r="17" spans="1:6" ht="18.75" customHeight="1" x14ac:dyDescent="0.3">
      <c r="A17" s="957"/>
      <c r="B17" s="42"/>
      <c r="C17" s="955"/>
      <c r="D17" s="41"/>
      <c r="E17" s="684"/>
      <c r="F17" s="1030">
        <f t="shared" si="1"/>
        <v>0</v>
      </c>
    </row>
    <row r="18" spans="1:6" ht="21.75" customHeight="1" x14ac:dyDescent="0.3">
      <c r="A18" s="1031"/>
      <c r="B18" s="1032"/>
      <c r="C18" s="1033"/>
      <c r="D18" s="1034"/>
      <c r="E18" s="916"/>
      <c r="F18" s="1030">
        <f t="shared" si="1"/>
        <v>0</v>
      </c>
    </row>
    <row r="19" spans="1:6" ht="18.75" customHeight="1" x14ac:dyDescent="0.3">
      <c r="A19" s="731"/>
      <c r="B19" s="51"/>
      <c r="C19" s="51"/>
      <c r="D19" s="52" t="s">
        <v>217</v>
      </c>
      <c r="E19" s="54">
        <f>SUM(E14:E18)</f>
        <v>544360</v>
      </c>
      <c r="F19" s="779">
        <f t="shared" si="1"/>
        <v>544360</v>
      </c>
    </row>
    <row r="20" spans="1:6" ht="18.75" customHeight="1" x14ac:dyDescent="0.3">
      <c r="A20" s="731"/>
      <c r="B20" s="51"/>
      <c r="C20" s="51"/>
      <c r="D20" s="52" t="s">
        <v>218</v>
      </c>
      <c r="E20" s="54">
        <f>SUM(E12+E19)</f>
        <v>1088720</v>
      </c>
      <c r="F20" s="779">
        <f t="shared" si="1"/>
        <v>1088720</v>
      </c>
    </row>
    <row r="21" spans="1:6" ht="18.75" customHeight="1" x14ac:dyDescent="0.3">
      <c r="A21" s="732"/>
      <c r="B21" s="58"/>
      <c r="C21" s="58"/>
      <c r="D21" s="59" t="s">
        <v>219</v>
      </c>
      <c r="E21" s="60">
        <f>SUM(E13-E19)</f>
        <v>2324780</v>
      </c>
      <c r="F21" s="780">
        <f t="shared" si="1"/>
        <v>2324780</v>
      </c>
    </row>
    <row r="22" spans="1:6" ht="18.75" customHeight="1" x14ac:dyDescent="0.3">
      <c r="A22" s="1035" t="s">
        <v>220</v>
      </c>
      <c r="B22" s="42"/>
      <c r="C22" s="955"/>
      <c r="D22" s="41"/>
      <c r="E22" s="684"/>
      <c r="F22" s="753"/>
    </row>
    <row r="23" spans="1:6" ht="18.75" customHeight="1" x14ac:dyDescent="0.3">
      <c r="A23" s="1142">
        <v>243965</v>
      </c>
      <c r="B23" s="42"/>
      <c r="C23" s="955"/>
      <c r="D23" s="41"/>
      <c r="E23" s="684">
        <v>544360</v>
      </c>
      <c r="F23" s="1030">
        <f t="shared" ref="F23:F29" si="2">SUM(E23)</f>
        <v>544360</v>
      </c>
    </row>
    <row r="24" spans="1:6" ht="18.75" customHeight="1" x14ac:dyDescent="0.3">
      <c r="A24" s="1142">
        <v>243978</v>
      </c>
      <c r="B24" s="42"/>
      <c r="C24" s="955"/>
      <c r="D24" s="41"/>
      <c r="E24" s="684">
        <v>18580.64</v>
      </c>
      <c r="F24" s="1030">
        <f t="shared" si="2"/>
        <v>18580.64</v>
      </c>
    </row>
    <row r="25" spans="1:6" ht="18.75" customHeight="1" x14ac:dyDescent="0.3">
      <c r="A25" s="957"/>
      <c r="B25" s="42"/>
      <c r="C25" s="955"/>
      <c r="D25" s="41"/>
      <c r="E25" s="684"/>
      <c r="F25" s="1030">
        <f t="shared" si="2"/>
        <v>0</v>
      </c>
    </row>
    <row r="26" spans="1:6" ht="21.75" customHeight="1" x14ac:dyDescent="0.3">
      <c r="A26" s="1031"/>
      <c r="B26" s="1032"/>
      <c r="C26" s="1033"/>
      <c r="D26" s="1034"/>
      <c r="E26" s="916"/>
      <c r="F26" s="1030">
        <f t="shared" si="2"/>
        <v>0</v>
      </c>
    </row>
    <row r="27" spans="1:6" ht="18.75" customHeight="1" x14ac:dyDescent="0.3">
      <c r="A27" s="731"/>
      <c r="B27" s="51"/>
      <c r="C27" s="51"/>
      <c r="D27" s="52" t="s">
        <v>221</v>
      </c>
      <c r="E27" s="54">
        <f>SUM(E22:E26)</f>
        <v>562940.64</v>
      </c>
      <c r="F27" s="779">
        <f t="shared" si="2"/>
        <v>562940.64</v>
      </c>
    </row>
    <row r="28" spans="1:6" ht="18.75" customHeight="1" x14ac:dyDescent="0.3">
      <c r="A28" s="731"/>
      <c r="B28" s="51"/>
      <c r="C28" s="51"/>
      <c r="D28" s="52" t="s">
        <v>222</v>
      </c>
      <c r="E28" s="54">
        <f>SUM(E20+E27)</f>
        <v>1651660.6400000001</v>
      </c>
      <c r="F28" s="779">
        <f t="shared" si="2"/>
        <v>1651660.6400000001</v>
      </c>
    </row>
    <row r="29" spans="1:6" ht="18.75" customHeight="1" x14ac:dyDescent="0.3">
      <c r="A29" s="732"/>
      <c r="B29" s="58"/>
      <c r="C29" s="58"/>
      <c r="D29" s="59" t="s">
        <v>223</v>
      </c>
      <c r="E29" s="60">
        <f>SUM(E21-E27)</f>
        <v>1761839.3599999999</v>
      </c>
      <c r="F29" s="780">
        <f t="shared" si="2"/>
        <v>1761839.3599999999</v>
      </c>
    </row>
    <row r="30" spans="1:6" ht="18.75" customHeight="1" x14ac:dyDescent="0.3">
      <c r="A30" s="1035" t="s">
        <v>224</v>
      </c>
      <c r="B30" s="42"/>
      <c r="C30" s="955"/>
      <c r="D30" s="41"/>
      <c r="E30" s="684"/>
      <c r="F30" s="753"/>
    </row>
    <row r="31" spans="1:6" ht="18.75" customHeight="1" x14ac:dyDescent="0.3">
      <c r="A31" s="957"/>
      <c r="B31" s="42"/>
      <c r="C31" s="955"/>
      <c r="D31" s="41"/>
      <c r="E31" s="684">
        <v>580360</v>
      </c>
      <c r="F31" s="1030">
        <f t="shared" ref="F31:F37" si="3">SUM(E31)</f>
        <v>580360</v>
      </c>
    </row>
    <row r="32" spans="1:6" ht="18.75" customHeight="1" x14ac:dyDescent="0.3">
      <c r="A32" s="957"/>
      <c r="B32" s="42"/>
      <c r="C32" s="955"/>
      <c r="D32" s="41"/>
      <c r="E32" s="684"/>
      <c r="F32" s="1030">
        <f t="shared" si="3"/>
        <v>0</v>
      </c>
    </row>
    <row r="33" spans="1:6" ht="18.75" customHeight="1" x14ac:dyDescent="0.3">
      <c r="A33" s="957"/>
      <c r="B33" s="42"/>
      <c r="C33" s="955"/>
      <c r="D33" s="41"/>
      <c r="E33" s="684"/>
      <c r="F33" s="1030">
        <f t="shared" si="3"/>
        <v>0</v>
      </c>
    </row>
    <row r="34" spans="1:6" ht="21.75" customHeight="1" x14ac:dyDescent="0.3">
      <c r="A34" s="1031"/>
      <c r="B34" s="1032"/>
      <c r="C34" s="1033"/>
      <c r="D34" s="1034"/>
      <c r="E34" s="916"/>
      <c r="F34" s="1030">
        <f t="shared" si="3"/>
        <v>0</v>
      </c>
    </row>
    <row r="35" spans="1:6" ht="18.75" customHeight="1" x14ac:dyDescent="0.3">
      <c r="A35" s="731"/>
      <c r="B35" s="51"/>
      <c r="C35" s="51"/>
      <c r="D35" s="52" t="s">
        <v>225</v>
      </c>
      <c r="E35" s="54">
        <f>SUM(E30:E34)</f>
        <v>580360</v>
      </c>
      <c r="F35" s="779">
        <f t="shared" si="3"/>
        <v>580360</v>
      </c>
    </row>
    <row r="36" spans="1:6" ht="18.75" customHeight="1" x14ac:dyDescent="0.3">
      <c r="A36" s="731"/>
      <c r="B36" s="51"/>
      <c r="C36" s="51"/>
      <c r="D36" s="52" t="s">
        <v>226</v>
      </c>
      <c r="E36" s="54">
        <f>SUM(E28+E35)</f>
        <v>2232020.64</v>
      </c>
      <c r="F36" s="779">
        <f t="shared" si="3"/>
        <v>2232020.64</v>
      </c>
    </row>
    <row r="37" spans="1:6" ht="18.75" customHeight="1" x14ac:dyDescent="0.3">
      <c r="A37" s="732"/>
      <c r="B37" s="58"/>
      <c r="C37" s="58"/>
      <c r="D37" s="59" t="s">
        <v>227</v>
      </c>
      <c r="E37" s="60">
        <f>SUM(E29-E35)</f>
        <v>1181479.3599999999</v>
      </c>
      <c r="F37" s="780">
        <f t="shared" si="3"/>
        <v>1181479.3599999999</v>
      </c>
    </row>
    <row r="38" spans="1:6" ht="18.75" customHeight="1" x14ac:dyDescent="0.3">
      <c r="A38" s="1035" t="s">
        <v>228</v>
      </c>
      <c r="B38" s="42"/>
      <c r="C38" s="955"/>
      <c r="D38" s="41"/>
      <c r="E38" s="684"/>
      <c r="F38" s="753"/>
    </row>
    <row r="39" spans="1:6" ht="18.75" customHeight="1" x14ac:dyDescent="0.3">
      <c r="A39" s="957"/>
      <c r="B39" s="42"/>
      <c r="C39" s="955"/>
      <c r="D39" s="41"/>
      <c r="E39" s="684"/>
      <c r="F39" s="1030">
        <f t="shared" ref="F39:F45" si="4">SUM(E39)</f>
        <v>0</v>
      </c>
    </row>
    <row r="40" spans="1:6" ht="18.75" customHeight="1" x14ac:dyDescent="0.3">
      <c r="A40" s="957"/>
      <c r="B40" s="42"/>
      <c r="C40" s="955"/>
      <c r="D40" s="41"/>
      <c r="E40" s="684"/>
      <c r="F40" s="1030">
        <f t="shared" si="4"/>
        <v>0</v>
      </c>
    </row>
    <row r="41" spans="1:6" ht="18.75" customHeight="1" x14ac:dyDescent="0.3">
      <c r="A41" s="957"/>
      <c r="B41" s="42"/>
      <c r="C41" s="955"/>
      <c r="D41" s="41"/>
      <c r="E41" s="684"/>
      <c r="F41" s="1030">
        <f t="shared" si="4"/>
        <v>0</v>
      </c>
    </row>
    <row r="42" spans="1:6" ht="21.75" customHeight="1" x14ac:dyDescent="0.3">
      <c r="A42" s="1031"/>
      <c r="B42" s="1032"/>
      <c r="C42" s="1033"/>
      <c r="D42" s="1034"/>
      <c r="E42" s="916"/>
      <c r="F42" s="1030">
        <f t="shared" si="4"/>
        <v>0</v>
      </c>
    </row>
    <row r="43" spans="1:6" ht="18.75" customHeight="1" x14ac:dyDescent="0.3">
      <c r="A43" s="731"/>
      <c r="B43" s="51"/>
      <c r="C43" s="51"/>
      <c r="D43" s="52" t="s">
        <v>229</v>
      </c>
      <c r="E43" s="54">
        <f>SUM(E38:E42)</f>
        <v>0</v>
      </c>
      <c r="F43" s="779">
        <f t="shared" si="4"/>
        <v>0</v>
      </c>
    </row>
    <row r="44" spans="1:6" ht="18.75" customHeight="1" x14ac:dyDescent="0.3">
      <c r="A44" s="731"/>
      <c r="B44" s="51"/>
      <c r="C44" s="51"/>
      <c r="D44" s="52" t="s">
        <v>230</v>
      </c>
      <c r="E44" s="54">
        <f>SUM(E36+E43)</f>
        <v>2232020.64</v>
      </c>
      <c r="F44" s="779">
        <f t="shared" si="4"/>
        <v>2232020.64</v>
      </c>
    </row>
    <row r="45" spans="1:6" ht="18.75" customHeight="1" x14ac:dyDescent="0.3">
      <c r="A45" s="732"/>
      <c r="B45" s="58"/>
      <c r="C45" s="58"/>
      <c r="D45" s="59" t="s">
        <v>231</v>
      </c>
      <c r="E45" s="60">
        <f>SUM(E37-E43)</f>
        <v>1181479.3599999999</v>
      </c>
      <c r="F45" s="780">
        <f t="shared" si="4"/>
        <v>1181479.3599999999</v>
      </c>
    </row>
    <row r="46" spans="1:6" ht="18.75" customHeight="1" x14ac:dyDescent="0.3">
      <c r="A46" s="1035" t="s">
        <v>232</v>
      </c>
      <c r="B46" s="42"/>
      <c r="C46" s="955"/>
      <c r="D46" s="41"/>
      <c r="E46" s="684"/>
      <c r="F46" s="753"/>
    </row>
    <row r="47" spans="1:6" ht="18.75" customHeight="1" x14ac:dyDescent="0.3">
      <c r="A47" s="957"/>
      <c r="B47" s="42"/>
      <c r="C47" s="955"/>
      <c r="D47" s="41"/>
      <c r="E47" s="684"/>
      <c r="F47" s="1030">
        <f t="shared" ref="F47:F53" si="5">SUM(E47)</f>
        <v>0</v>
      </c>
    </row>
    <row r="48" spans="1:6" ht="18.75" customHeight="1" x14ac:dyDescent="0.3">
      <c r="A48" s="957"/>
      <c r="B48" s="42"/>
      <c r="C48" s="955"/>
      <c r="D48" s="41"/>
      <c r="E48" s="684"/>
      <c r="F48" s="1030">
        <f t="shared" si="5"/>
        <v>0</v>
      </c>
    </row>
    <row r="49" spans="1:6" ht="18.75" customHeight="1" x14ac:dyDescent="0.3">
      <c r="A49" s="957"/>
      <c r="B49" s="42"/>
      <c r="C49" s="955"/>
      <c r="D49" s="41"/>
      <c r="E49" s="684"/>
      <c r="F49" s="1030">
        <f t="shared" si="5"/>
        <v>0</v>
      </c>
    </row>
    <row r="50" spans="1:6" ht="18.75" customHeight="1" x14ac:dyDescent="0.3">
      <c r="A50" s="1031"/>
      <c r="B50" s="1032"/>
      <c r="C50" s="1033"/>
      <c r="D50" s="1034"/>
      <c r="E50" s="916"/>
      <c r="F50" s="1030">
        <f t="shared" si="5"/>
        <v>0</v>
      </c>
    </row>
    <row r="51" spans="1:6" ht="18.75" customHeight="1" x14ac:dyDescent="0.3">
      <c r="A51" s="731"/>
      <c r="B51" s="51"/>
      <c r="C51" s="51"/>
      <c r="D51" s="52" t="s">
        <v>233</v>
      </c>
      <c r="E51" s="54">
        <f>SUM(E46:E50)</f>
        <v>0</v>
      </c>
      <c r="F51" s="779">
        <f t="shared" si="5"/>
        <v>0</v>
      </c>
    </row>
    <row r="52" spans="1:6" ht="18.75" customHeight="1" x14ac:dyDescent="0.3">
      <c r="A52" s="731"/>
      <c r="B52" s="51"/>
      <c r="C52" s="51"/>
      <c r="D52" s="52" t="s">
        <v>234</v>
      </c>
      <c r="E52" s="54">
        <f>SUM(E44+E51)</f>
        <v>2232020.64</v>
      </c>
      <c r="F52" s="779">
        <f t="shared" si="5"/>
        <v>2232020.64</v>
      </c>
    </row>
    <row r="53" spans="1:6" ht="18.75" customHeight="1" x14ac:dyDescent="0.3">
      <c r="A53" s="732"/>
      <c r="B53" s="58"/>
      <c r="C53" s="58"/>
      <c r="D53" s="59" t="s">
        <v>235</v>
      </c>
      <c r="E53" s="60">
        <f>SUM(E45-E51)</f>
        <v>1181479.3599999999</v>
      </c>
      <c r="F53" s="780">
        <f t="shared" si="5"/>
        <v>1181479.3599999999</v>
      </c>
    </row>
    <row r="54" spans="1:6" ht="18.75" customHeight="1" x14ac:dyDescent="0.3">
      <c r="A54" s="1035" t="s">
        <v>236</v>
      </c>
      <c r="B54" s="42"/>
      <c r="C54" s="955"/>
      <c r="D54" s="41"/>
      <c r="E54" s="684"/>
      <c r="F54" s="753"/>
    </row>
    <row r="55" spans="1:6" ht="18.75" customHeight="1" x14ac:dyDescent="0.3">
      <c r="A55" s="957"/>
      <c r="B55" s="42"/>
      <c r="C55" s="955"/>
      <c r="D55" s="41"/>
      <c r="E55" s="684"/>
      <c r="F55" s="1030">
        <f>SUM(E55)</f>
        <v>0</v>
      </c>
    </row>
    <row r="56" spans="1:6" ht="18.75" customHeight="1" x14ac:dyDescent="0.3">
      <c r="A56" s="957"/>
      <c r="B56" s="42"/>
      <c r="C56" s="955"/>
      <c r="D56" s="41"/>
      <c r="E56" s="684"/>
      <c r="F56" s="1030">
        <f>SUM(E56)</f>
        <v>0</v>
      </c>
    </row>
    <row r="57" spans="1:6" ht="18.75" customHeight="1" x14ac:dyDescent="0.3">
      <c r="A57" s="957"/>
      <c r="B57" s="42"/>
      <c r="C57" s="955"/>
      <c r="D57" s="41"/>
      <c r="E57" s="684"/>
      <c r="F57" s="1030">
        <f>SUM(E57)</f>
        <v>0</v>
      </c>
    </row>
    <row r="58" spans="1:6" ht="21.75" customHeight="1" x14ac:dyDescent="0.3">
      <c r="A58" s="1031"/>
      <c r="B58" s="1032"/>
      <c r="C58" s="1033"/>
      <c r="D58" s="1034"/>
      <c r="E58" s="916"/>
      <c r="F58" s="1030">
        <f>SUM(E58)</f>
        <v>0</v>
      </c>
    </row>
    <row r="59" spans="1:6" ht="18.75" customHeight="1" x14ac:dyDescent="0.3">
      <c r="A59" s="731"/>
      <c r="B59" s="51"/>
      <c r="C59" s="51"/>
      <c r="D59" s="52" t="s">
        <v>237</v>
      </c>
      <c r="E59" s="54">
        <f>SUM(E54:E58)</f>
        <v>0</v>
      </c>
      <c r="F59" s="779">
        <f t="shared" ref="F59:F61" si="6">SUM(E59)</f>
        <v>0</v>
      </c>
    </row>
    <row r="60" spans="1:6" ht="18.75" customHeight="1" x14ac:dyDescent="0.3">
      <c r="A60" s="731"/>
      <c r="B60" s="51"/>
      <c r="C60" s="51"/>
      <c r="D60" s="52" t="s">
        <v>238</v>
      </c>
      <c r="E60" s="54">
        <f>SUM(E52+E59)</f>
        <v>2232020.64</v>
      </c>
      <c r="F60" s="779">
        <f t="shared" si="6"/>
        <v>2232020.64</v>
      </c>
    </row>
    <row r="61" spans="1:6" ht="18.75" customHeight="1" x14ac:dyDescent="0.3">
      <c r="A61" s="732"/>
      <c r="B61" s="58"/>
      <c r="C61" s="58"/>
      <c r="D61" s="59" t="s">
        <v>239</v>
      </c>
      <c r="E61" s="60">
        <f>SUM(E53-E59)</f>
        <v>1181479.3599999999</v>
      </c>
      <c r="F61" s="780">
        <f t="shared" si="6"/>
        <v>1181479.3599999999</v>
      </c>
    </row>
    <row r="62" spans="1:6" ht="18.75" customHeight="1" x14ac:dyDescent="0.3">
      <c r="A62" s="1035" t="s">
        <v>240</v>
      </c>
      <c r="B62" s="42"/>
      <c r="C62" s="955"/>
      <c r="D62" s="41"/>
      <c r="E62" s="684"/>
      <c r="F62" s="753"/>
    </row>
    <row r="63" spans="1:6" ht="18.75" customHeight="1" x14ac:dyDescent="0.3">
      <c r="A63" s="957"/>
      <c r="B63" s="42"/>
      <c r="C63" s="955"/>
      <c r="D63" s="41"/>
      <c r="E63" s="684"/>
      <c r="F63" s="1030">
        <f>SUM(E63)</f>
        <v>0</v>
      </c>
    </row>
    <row r="64" spans="1:6" ht="18.75" customHeight="1" x14ac:dyDescent="0.3">
      <c r="A64" s="957"/>
      <c r="B64" s="42"/>
      <c r="C64" s="955"/>
      <c r="D64" s="41"/>
      <c r="E64" s="684"/>
      <c r="F64" s="1030">
        <f>SUM(E64)</f>
        <v>0</v>
      </c>
    </row>
    <row r="65" spans="1:6" ht="18.75" customHeight="1" x14ac:dyDescent="0.3">
      <c r="A65" s="957"/>
      <c r="B65" s="42"/>
      <c r="C65" s="955"/>
      <c r="D65" s="41"/>
      <c r="E65" s="684"/>
      <c r="F65" s="1030">
        <f>SUM(E65)</f>
        <v>0</v>
      </c>
    </row>
    <row r="66" spans="1:6" ht="18.75" customHeight="1" x14ac:dyDescent="0.3">
      <c r="A66" s="1031"/>
      <c r="B66" s="1032"/>
      <c r="C66" s="1033"/>
      <c r="D66" s="1034"/>
      <c r="E66" s="916"/>
      <c r="F66" s="1030">
        <f>SUM(E66)</f>
        <v>0</v>
      </c>
    </row>
    <row r="67" spans="1:6" ht="18.75" customHeight="1" x14ac:dyDescent="0.3">
      <c r="A67" s="731"/>
      <c r="B67" s="51"/>
      <c r="C67" s="51"/>
      <c r="D67" s="52" t="s">
        <v>241</v>
      </c>
      <c r="E67" s="54">
        <f>SUM(E62:E66)</f>
        <v>0</v>
      </c>
      <c r="F67" s="779">
        <f t="shared" ref="F67:F69" si="7">SUM(E67)</f>
        <v>0</v>
      </c>
    </row>
    <row r="68" spans="1:6" ht="18.75" customHeight="1" x14ac:dyDescent="0.3">
      <c r="A68" s="731"/>
      <c r="B68" s="51"/>
      <c r="C68" s="51"/>
      <c r="D68" s="52" t="s">
        <v>242</v>
      </c>
      <c r="E68" s="54">
        <f>SUM(E60+E67)</f>
        <v>2232020.64</v>
      </c>
      <c r="F68" s="779">
        <f t="shared" si="7"/>
        <v>2232020.64</v>
      </c>
    </row>
    <row r="69" spans="1:6" ht="18.75" customHeight="1" x14ac:dyDescent="0.3">
      <c r="A69" s="732"/>
      <c r="B69" s="58"/>
      <c r="C69" s="58"/>
      <c r="D69" s="59" t="s">
        <v>243</v>
      </c>
      <c r="E69" s="60">
        <f>SUM(E61-E67)</f>
        <v>1181479.3599999999</v>
      </c>
      <c r="F69" s="780">
        <f t="shared" si="7"/>
        <v>1181479.3599999999</v>
      </c>
    </row>
    <row r="70" spans="1:6" ht="18.75" customHeight="1" x14ac:dyDescent="0.3">
      <c r="A70" s="1035" t="s">
        <v>244</v>
      </c>
      <c r="B70" s="42"/>
      <c r="C70" s="955"/>
      <c r="D70" s="41"/>
      <c r="E70" s="684"/>
      <c r="F70" s="753"/>
    </row>
    <row r="71" spans="1:6" ht="18.75" customHeight="1" x14ac:dyDescent="0.3">
      <c r="A71" s="957"/>
      <c r="B71" s="42"/>
      <c r="C71" s="955"/>
      <c r="D71" s="41"/>
      <c r="E71" s="684"/>
      <c r="F71" s="1030">
        <f>SUM(E71)</f>
        <v>0</v>
      </c>
    </row>
    <row r="72" spans="1:6" ht="18.75" customHeight="1" x14ac:dyDescent="0.3">
      <c r="A72" s="957"/>
      <c r="B72" s="42"/>
      <c r="C72" s="955"/>
      <c r="D72" s="41"/>
      <c r="E72" s="684"/>
      <c r="F72" s="1030">
        <f>SUM(E72)</f>
        <v>0</v>
      </c>
    </row>
    <row r="73" spans="1:6" ht="18.75" customHeight="1" x14ac:dyDescent="0.3">
      <c r="A73" s="957"/>
      <c r="B73" s="42"/>
      <c r="C73" s="955"/>
      <c r="D73" s="41"/>
      <c r="E73" s="684"/>
      <c r="F73" s="1030">
        <f>SUM(E73)</f>
        <v>0</v>
      </c>
    </row>
    <row r="74" spans="1:6" ht="21.75" customHeight="1" x14ac:dyDescent="0.3">
      <c r="A74" s="1031"/>
      <c r="B74" s="1032"/>
      <c r="C74" s="1033"/>
      <c r="D74" s="1034"/>
      <c r="E74" s="916"/>
      <c r="F74" s="1030">
        <f>SUM(E74)</f>
        <v>0</v>
      </c>
    </row>
    <row r="75" spans="1:6" ht="18.75" customHeight="1" x14ac:dyDescent="0.3">
      <c r="A75" s="731"/>
      <c r="B75" s="51"/>
      <c r="C75" s="51"/>
      <c r="D75" s="52" t="s">
        <v>245</v>
      </c>
      <c r="E75" s="54">
        <f>SUM(E70:E74)</f>
        <v>0</v>
      </c>
      <c r="F75" s="779">
        <f t="shared" ref="F75:F77" si="8">SUM(E75)</f>
        <v>0</v>
      </c>
    </row>
    <row r="76" spans="1:6" ht="18.75" customHeight="1" x14ac:dyDescent="0.3">
      <c r="A76" s="731"/>
      <c r="B76" s="51"/>
      <c r="C76" s="51"/>
      <c r="D76" s="52" t="s">
        <v>246</v>
      </c>
      <c r="E76" s="54">
        <f>SUM(E68+E75)</f>
        <v>2232020.64</v>
      </c>
      <c r="F76" s="779">
        <f t="shared" si="8"/>
        <v>2232020.64</v>
      </c>
    </row>
    <row r="77" spans="1:6" ht="18.75" customHeight="1" x14ac:dyDescent="0.3">
      <c r="A77" s="732"/>
      <c r="B77" s="58"/>
      <c r="C77" s="58"/>
      <c r="D77" s="59" t="s">
        <v>247</v>
      </c>
      <c r="E77" s="60">
        <f>SUM(E69-E75)</f>
        <v>1181479.3599999999</v>
      </c>
      <c r="F77" s="780">
        <f t="shared" si="8"/>
        <v>1181479.3599999999</v>
      </c>
    </row>
    <row r="78" spans="1:6" ht="18.75" customHeight="1" x14ac:dyDescent="0.3">
      <c r="A78" s="1035" t="s">
        <v>248</v>
      </c>
      <c r="B78" s="42"/>
      <c r="C78" s="955"/>
      <c r="D78" s="41"/>
      <c r="E78" s="684"/>
      <c r="F78" s="753"/>
    </row>
    <row r="79" spans="1:6" ht="18.75" customHeight="1" x14ac:dyDescent="0.3">
      <c r="A79" s="957"/>
      <c r="B79" s="42"/>
      <c r="C79" s="955"/>
      <c r="D79" s="41"/>
      <c r="E79" s="684"/>
      <c r="F79" s="1030">
        <f>SUM(E79)</f>
        <v>0</v>
      </c>
    </row>
    <row r="80" spans="1:6" ht="18.75" customHeight="1" x14ac:dyDescent="0.3">
      <c r="A80" s="957"/>
      <c r="B80" s="42"/>
      <c r="C80" s="955"/>
      <c r="D80" s="41"/>
      <c r="E80" s="684"/>
      <c r="F80" s="1030">
        <f>SUM(E80)</f>
        <v>0</v>
      </c>
    </row>
    <row r="81" spans="1:6" ht="18.75" customHeight="1" x14ac:dyDescent="0.3">
      <c r="A81" s="957"/>
      <c r="B81" s="42"/>
      <c r="C81" s="955"/>
      <c r="D81" s="41"/>
      <c r="E81" s="684"/>
      <c r="F81" s="1030">
        <f>SUM(E81)</f>
        <v>0</v>
      </c>
    </row>
    <row r="82" spans="1:6" ht="21.75" customHeight="1" x14ac:dyDescent="0.3">
      <c r="A82" s="1031"/>
      <c r="B82" s="1032"/>
      <c r="C82" s="1033"/>
      <c r="D82" s="1034"/>
      <c r="E82" s="916"/>
      <c r="F82" s="1030">
        <f>SUM(E82)</f>
        <v>0</v>
      </c>
    </row>
    <row r="83" spans="1:6" ht="18.75" customHeight="1" x14ac:dyDescent="0.3">
      <c r="A83" s="731"/>
      <c r="B83" s="51"/>
      <c r="C83" s="51"/>
      <c r="D83" s="52" t="s">
        <v>249</v>
      </c>
      <c r="E83" s="54">
        <f>SUM(E78:E82)</f>
        <v>0</v>
      </c>
      <c r="F83" s="779">
        <f t="shared" ref="F83:F85" si="9">SUM(E83)</f>
        <v>0</v>
      </c>
    </row>
    <row r="84" spans="1:6" ht="18.75" customHeight="1" x14ac:dyDescent="0.3">
      <c r="A84" s="731"/>
      <c r="B84" s="51"/>
      <c r="C84" s="51"/>
      <c r="D84" s="52" t="s">
        <v>250</v>
      </c>
      <c r="E84" s="54">
        <f>SUM(E76+E83)</f>
        <v>2232020.64</v>
      </c>
      <c r="F84" s="779">
        <f t="shared" si="9"/>
        <v>2232020.64</v>
      </c>
    </row>
    <row r="85" spans="1:6" ht="18.75" customHeight="1" x14ac:dyDescent="0.3">
      <c r="A85" s="732"/>
      <c r="B85" s="58"/>
      <c r="C85" s="58"/>
      <c r="D85" s="59" t="s">
        <v>251</v>
      </c>
      <c r="E85" s="60">
        <f>SUM(E77-E83)</f>
        <v>1181479.3599999999</v>
      </c>
      <c r="F85" s="780">
        <f t="shared" si="9"/>
        <v>1181479.3599999999</v>
      </c>
    </row>
    <row r="86" spans="1:6" ht="18.75" customHeight="1" x14ac:dyDescent="0.3">
      <c r="A86" s="1035" t="s">
        <v>252</v>
      </c>
      <c r="B86" s="42"/>
      <c r="C86" s="955"/>
      <c r="D86" s="41"/>
      <c r="E86" s="684"/>
      <c r="F86" s="753"/>
    </row>
    <row r="87" spans="1:6" ht="18.75" customHeight="1" x14ac:dyDescent="0.3">
      <c r="A87" s="957"/>
      <c r="B87" s="42"/>
      <c r="C87" s="955"/>
      <c r="D87" s="41"/>
      <c r="E87" s="684"/>
      <c r="F87" s="1030">
        <f t="shared" ref="F87:F93" si="10">SUM(E87)</f>
        <v>0</v>
      </c>
    </row>
    <row r="88" spans="1:6" ht="18.75" customHeight="1" x14ac:dyDescent="0.3">
      <c r="A88" s="957"/>
      <c r="B88" s="42"/>
      <c r="C88" s="955"/>
      <c r="D88" s="41"/>
      <c r="E88" s="684"/>
      <c r="F88" s="1030">
        <f t="shared" si="10"/>
        <v>0</v>
      </c>
    </row>
    <row r="89" spans="1:6" ht="18.75" customHeight="1" x14ac:dyDescent="0.3">
      <c r="A89" s="957"/>
      <c r="B89" s="42"/>
      <c r="C89" s="955"/>
      <c r="D89" s="41"/>
      <c r="E89" s="684"/>
      <c r="F89" s="1030">
        <f t="shared" si="10"/>
        <v>0</v>
      </c>
    </row>
    <row r="90" spans="1:6" ht="18.75" customHeight="1" x14ac:dyDescent="0.3">
      <c r="A90" s="1031"/>
      <c r="B90" s="1032"/>
      <c r="C90" s="1033"/>
      <c r="D90" s="1034"/>
      <c r="E90" s="916"/>
      <c r="F90" s="1030">
        <f t="shared" si="10"/>
        <v>0</v>
      </c>
    </row>
    <row r="91" spans="1:6" ht="18.75" customHeight="1" x14ac:dyDescent="0.3">
      <c r="A91" s="731"/>
      <c r="B91" s="51"/>
      <c r="C91" s="51"/>
      <c r="D91" s="52" t="s">
        <v>253</v>
      </c>
      <c r="E91" s="54">
        <f>SUM(E86:E90)</f>
        <v>0</v>
      </c>
      <c r="F91" s="779">
        <f t="shared" si="10"/>
        <v>0</v>
      </c>
    </row>
    <row r="92" spans="1:6" ht="18.75" customHeight="1" x14ac:dyDescent="0.3">
      <c r="A92" s="731"/>
      <c r="B92" s="51"/>
      <c r="C92" s="51"/>
      <c r="D92" s="52" t="s">
        <v>254</v>
      </c>
      <c r="E92" s="54">
        <f>SUM(E84+E91)</f>
        <v>2232020.64</v>
      </c>
      <c r="F92" s="779">
        <f t="shared" si="10"/>
        <v>2232020.64</v>
      </c>
    </row>
    <row r="93" spans="1:6" ht="18.75" customHeight="1" x14ac:dyDescent="0.3">
      <c r="A93" s="732"/>
      <c r="B93" s="58"/>
      <c r="C93" s="58"/>
      <c r="D93" s="59" t="s">
        <v>255</v>
      </c>
      <c r="E93" s="60">
        <f>SUM(E85-E91)</f>
        <v>1181479.3599999999</v>
      </c>
      <c r="F93" s="780">
        <f t="shared" si="10"/>
        <v>1181479.3599999999</v>
      </c>
    </row>
    <row r="94" spans="1:6" ht="18.75" customHeight="1" x14ac:dyDescent="0.3">
      <c r="A94" s="1035" t="s">
        <v>256</v>
      </c>
      <c r="B94" s="42"/>
      <c r="C94" s="955"/>
      <c r="D94" s="41"/>
      <c r="E94" s="684"/>
      <c r="F94" s="753"/>
    </row>
    <row r="95" spans="1:6" ht="18.75" customHeight="1" x14ac:dyDescent="0.3">
      <c r="A95" s="957"/>
      <c r="B95" s="42"/>
      <c r="C95" s="955"/>
      <c r="D95" s="41"/>
      <c r="E95" s="684"/>
      <c r="F95" s="1030">
        <f>SUM(E95)</f>
        <v>0</v>
      </c>
    </row>
    <row r="96" spans="1:6" ht="18.75" customHeight="1" x14ac:dyDescent="0.3">
      <c r="A96" s="957"/>
      <c r="B96" s="42"/>
      <c r="C96" s="955"/>
      <c r="D96" s="41"/>
      <c r="E96" s="684"/>
      <c r="F96" s="1030">
        <f>SUM(E96)</f>
        <v>0</v>
      </c>
    </row>
    <row r="97" spans="1:6" ht="18.75" customHeight="1" x14ac:dyDescent="0.3">
      <c r="A97" s="957"/>
      <c r="B97" s="42"/>
      <c r="C97" s="955"/>
      <c r="D97" s="41"/>
      <c r="E97" s="684"/>
      <c r="F97" s="1030">
        <f>SUM(E97)</f>
        <v>0</v>
      </c>
    </row>
    <row r="98" spans="1:6" ht="21.75" customHeight="1" x14ac:dyDescent="0.3">
      <c r="A98" s="1031"/>
      <c r="B98" s="1032"/>
      <c r="C98" s="1033"/>
      <c r="D98" s="1034"/>
      <c r="E98" s="916"/>
      <c r="F98" s="1030">
        <f>SUM(E98)</f>
        <v>0</v>
      </c>
    </row>
    <row r="99" spans="1:6" ht="18.75" customHeight="1" x14ac:dyDescent="0.3">
      <c r="A99" s="731"/>
      <c r="B99" s="51"/>
      <c r="C99" s="51"/>
      <c r="D99" s="52" t="s">
        <v>257</v>
      </c>
      <c r="E99" s="54">
        <f>SUM(E94:E98)</f>
        <v>0</v>
      </c>
      <c r="F99" s="779">
        <f t="shared" ref="F99:F101" si="11">SUM(E99)</f>
        <v>0</v>
      </c>
    </row>
    <row r="100" spans="1:6" ht="18.75" customHeight="1" x14ac:dyDescent="0.3">
      <c r="A100" s="731"/>
      <c r="B100" s="51"/>
      <c r="C100" s="51"/>
      <c r="D100" s="52" t="s">
        <v>258</v>
      </c>
      <c r="E100" s="54">
        <f>SUM(E92+E99)</f>
        <v>2232020.64</v>
      </c>
      <c r="F100" s="779">
        <f t="shared" si="11"/>
        <v>2232020.64</v>
      </c>
    </row>
    <row r="101" spans="1:6" ht="18.75" customHeight="1" x14ac:dyDescent="0.3">
      <c r="A101" s="732"/>
      <c r="B101" s="58"/>
      <c r="C101" s="58"/>
      <c r="D101" s="59" t="s">
        <v>259</v>
      </c>
      <c r="E101" s="60">
        <f>SUM(E93-E99)</f>
        <v>1181479.3599999999</v>
      </c>
      <c r="F101" s="780">
        <f t="shared" si="11"/>
        <v>1181479.3599999999</v>
      </c>
    </row>
    <row r="102" spans="1:6" ht="18.75" customHeight="1" x14ac:dyDescent="0.3">
      <c r="A102" s="733"/>
      <c r="B102" s="42"/>
      <c r="C102" s="42"/>
      <c r="D102" s="41"/>
      <c r="E102" s="37"/>
      <c r="F102" s="781"/>
    </row>
    <row r="103" spans="1:6" ht="18.75" customHeight="1" x14ac:dyDescent="0.3">
      <c r="A103" s="733"/>
      <c r="B103" s="42"/>
      <c r="C103" s="42"/>
      <c r="D103" s="41" t="s">
        <v>264</v>
      </c>
      <c r="E103" s="37"/>
      <c r="F103" s="781"/>
    </row>
  </sheetData>
  <autoFilter ref="A2:G2" xr:uid="{6E66AC56-9C67-4E76-82EE-27A0AFA0CAFA}"/>
  <conditionalFormatting sqref="A23">
    <cfRule type="cellIs" dxfId="687" priority="1" stopIfTrue="1" operator="lessThan">
      <formula>0</formula>
    </cfRule>
  </conditionalFormatting>
  <conditionalFormatting sqref="D4">
    <cfRule type="cellIs" dxfId="686" priority="5" stopIfTrue="1" operator="lessThan">
      <formula>0</formula>
    </cfRule>
    <cfRule type="cellIs" dxfId="685" priority="6" operator="lessThan">
      <formula>0</formula>
    </cfRule>
  </conditionalFormatting>
  <conditionalFormatting sqref="A7">
    <cfRule type="cellIs" dxfId="684" priority="4" stopIfTrue="1" operator="lessThan">
      <formula>0</formula>
    </cfRule>
  </conditionalFormatting>
  <conditionalFormatting sqref="A15">
    <cfRule type="cellIs" dxfId="683" priority="3" stopIfTrue="1" operator="lessThan">
      <formula>0</formula>
    </cfRule>
  </conditionalFormatting>
  <conditionalFormatting sqref="A24">
    <cfRule type="cellIs" dxfId="682" priority="2" stopIfTrue="1" operator="lessThan">
      <formula>0</formula>
    </cfRule>
  </conditionalFormatting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I101"/>
  <sheetViews>
    <sheetView workbookViewId="0">
      <pane xSplit="3" ySplit="5" topLeftCell="D30" activePane="bottomRight" state="frozen"/>
      <selection activeCell="E13" sqref="E13"/>
      <selection pane="topRight" activeCell="E13" sqref="E13"/>
      <selection pane="bottomLeft" activeCell="E13" sqref="E13"/>
      <selection pane="bottomRight" activeCell="I42" sqref="I42"/>
    </sheetView>
  </sheetViews>
  <sheetFormatPr defaultColWidth="14.42578125" defaultRowHeight="15" customHeight="1" x14ac:dyDescent="0.3"/>
  <cols>
    <col min="1" max="1" width="10.140625" style="744" customWidth="1"/>
    <col min="2" max="2" width="17.28515625" style="1012" customWidth="1"/>
    <col min="3" max="3" width="15.140625" style="1012" customWidth="1"/>
    <col min="4" max="4" width="81.5703125" style="1012" customWidth="1"/>
    <col min="5" max="8" width="16.85546875" style="1012" customWidth="1"/>
    <col min="9" max="9" width="16.85546875" style="721" customWidth="1"/>
    <col min="10" max="16384" width="14.42578125" style="1012"/>
  </cols>
  <sheetData>
    <row r="1" spans="1:9" ht="18.75" customHeight="1" x14ac:dyDescent="0.3">
      <c r="A1" s="727"/>
      <c r="B1" s="27"/>
      <c r="C1" s="27"/>
      <c r="D1" s="734" t="s">
        <v>1212</v>
      </c>
      <c r="E1" s="1215" t="s">
        <v>1213</v>
      </c>
      <c r="F1" s="1215"/>
      <c r="G1" s="1215" t="s">
        <v>1214</v>
      </c>
      <c r="H1" s="1215"/>
      <c r="I1" s="782"/>
    </row>
    <row r="2" spans="1:9" s="133" customFormat="1" ht="56.25" x14ac:dyDescent="0.3">
      <c r="A2" s="738" t="s">
        <v>201</v>
      </c>
      <c r="B2" s="737" t="s">
        <v>202</v>
      </c>
      <c r="C2" s="748" t="s">
        <v>1198</v>
      </c>
      <c r="D2" s="737" t="s">
        <v>77</v>
      </c>
      <c r="E2" s="745" t="s">
        <v>1205</v>
      </c>
      <c r="F2" s="745" t="s">
        <v>1208</v>
      </c>
      <c r="G2" s="746" t="s">
        <v>1206</v>
      </c>
      <c r="H2" s="745" t="s">
        <v>1207</v>
      </c>
      <c r="I2" s="783" t="s">
        <v>208</v>
      </c>
    </row>
    <row r="3" spans="1:9" ht="18.75" customHeight="1" x14ac:dyDescent="0.3">
      <c r="A3" s="739"/>
      <c r="B3" s="735"/>
      <c r="C3" s="736"/>
      <c r="D3" s="814" t="s">
        <v>209</v>
      </c>
      <c r="E3" s="753">
        <v>0</v>
      </c>
      <c r="F3" s="753">
        <v>0</v>
      </c>
      <c r="G3" s="754">
        <v>0</v>
      </c>
      <c r="H3" s="753">
        <v>0</v>
      </c>
      <c r="I3" s="755">
        <f>SUM(E3:H3)</f>
        <v>0</v>
      </c>
    </row>
    <row r="4" spans="1:9" ht="18.75" customHeight="1" x14ac:dyDescent="0.3">
      <c r="A4" s="739"/>
      <c r="B4" s="735"/>
      <c r="C4" s="736"/>
      <c r="D4" s="800" t="s">
        <v>1203</v>
      </c>
      <c r="E4" s="807">
        <v>21000</v>
      </c>
      <c r="F4" s="807">
        <v>0</v>
      </c>
      <c r="G4" s="808">
        <v>114600</v>
      </c>
      <c r="H4" s="807">
        <v>12200</v>
      </c>
      <c r="I4" s="755">
        <f>SUM(E4:H4)</f>
        <v>147800</v>
      </c>
    </row>
    <row r="5" spans="1:9" ht="18.75" customHeight="1" x14ac:dyDescent="0.3">
      <c r="A5" s="809"/>
      <c r="B5" s="810"/>
      <c r="C5" s="811"/>
      <c r="D5" s="804" t="s">
        <v>211</v>
      </c>
      <c r="E5" s="812"/>
      <c r="F5" s="812"/>
      <c r="G5" s="813"/>
      <c r="H5" s="812"/>
      <c r="I5" s="805"/>
    </row>
    <row r="6" spans="1:9" ht="18.75" customHeight="1" x14ac:dyDescent="0.3">
      <c r="A6" s="1027" t="s">
        <v>212</v>
      </c>
      <c r="B6" s="27"/>
      <c r="C6" s="1028"/>
      <c r="D6" s="29"/>
      <c r="E6" s="1029"/>
      <c r="F6" s="1029"/>
      <c r="G6" s="4"/>
      <c r="H6" s="1029"/>
      <c r="I6" s="807"/>
    </row>
    <row r="7" spans="1:9" ht="18.75" customHeight="1" x14ac:dyDescent="0.3">
      <c r="A7" s="957">
        <v>45580</v>
      </c>
      <c r="B7" s="42"/>
      <c r="C7" s="955"/>
      <c r="D7" s="41"/>
      <c r="E7" s="684"/>
      <c r="F7" s="684"/>
      <c r="G7" s="37">
        <v>17969</v>
      </c>
      <c r="H7" s="684"/>
      <c r="I7" s="1036">
        <f t="shared" ref="I7:I13" si="0">SUM(E7:H7)</f>
        <v>17969</v>
      </c>
    </row>
    <row r="8" spans="1:9" ht="18.75" customHeight="1" x14ac:dyDescent="0.3">
      <c r="A8" s="957"/>
      <c r="B8" s="42"/>
      <c r="C8" s="955"/>
      <c r="D8" s="41"/>
      <c r="E8" s="684"/>
      <c r="F8" s="684"/>
      <c r="G8" s="37"/>
      <c r="H8" s="684"/>
      <c r="I8" s="1036">
        <f t="shared" si="0"/>
        <v>0</v>
      </c>
    </row>
    <row r="9" spans="1:9" ht="18.75" customHeight="1" x14ac:dyDescent="0.3">
      <c r="A9" s="957"/>
      <c r="B9" s="42"/>
      <c r="C9" s="955"/>
      <c r="D9" s="41"/>
      <c r="E9" s="684"/>
      <c r="F9" s="684"/>
      <c r="G9" s="37"/>
      <c r="H9" s="684"/>
      <c r="I9" s="1036">
        <f t="shared" si="0"/>
        <v>0</v>
      </c>
    </row>
    <row r="10" spans="1:9" ht="18.75" customHeight="1" x14ac:dyDescent="0.3">
      <c r="A10" s="1031"/>
      <c r="B10" s="1032"/>
      <c r="C10" s="1033"/>
      <c r="D10" s="1034"/>
      <c r="E10" s="916"/>
      <c r="F10" s="916"/>
      <c r="G10" s="888"/>
      <c r="H10" s="916"/>
      <c r="I10" s="1037">
        <f t="shared" si="0"/>
        <v>0</v>
      </c>
    </row>
    <row r="11" spans="1:9" ht="18.75" customHeight="1" x14ac:dyDescent="0.3">
      <c r="A11" s="740"/>
      <c r="B11" s="210"/>
      <c r="C11" s="210"/>
      <c r="D11" s="465" t="s">
        <v>261</v>
      </c>
      <c r="E11" s="466">
        <f>SUM(E6:E10)</f>
        <v>0</v>
      </c>
      <c r="F11" s="466">
        <f>SUM(F6:F10)</f>
        <v>0</v>
      </c>
      <c r="G11" s="466">
        <f>SUM(G6:G10)</f>
        <v>17969</v>
      </c>
      <c r="H11" s="466">
        <f>SUM(H6:H10)</f>
        <v>0</v>
      </c>
      <c r="I11" s="784">
        <f t="shared" si="0"/>
        <v>17969</v>
      </c>
    </row>
    <row r="12" spans="1:9" ht="18.75" customHeight="1" x14ac:dyDescent="0.3">
      <c r="A12" s="740"/>
      <c r="B12" s="210"/>
      <c r="C12" s="210"/>
      <c r="D12" s="465" t="s">
        <v>214</v>
      </c>
      <c r="E12" s="466">
        <f>SUM(E3+E11)</f>
        <v>0</v>
      </c>
      <c r="F12" s="466">
        <f>SUM(F3+F11)</f>
        <v>0</v>
      </c>
      <c r="G12" s="466">
        <f>SUM(G3+G11)</f>
        <v>17969</v>
      </c>
      <c r="H12" s="466">
        <f>SUM(H3+H11)</f>
        <v>0</v>
      </c>
      <c r="I12" s="784">
        <f t="shared" si="0"/>
        <v>17969</v>
      </c>
    </row>
    <row r="13" spans="1:9" ht="18.75" customHeight="1" x14ac:dyDescent="0.3">
      <c r="A13" s="741"/>
      <c r="B13" s="479"/>
      <c r="C13" s="479"/>
      <c r="D13" s="471" t="s">
        <v>215</v>
      </c>
      <c r="E13" s="472">
        <f>SUM(E4-E11)</f>
        <v>21000</v>
      </c>
      <c r="F13" s="472">
        <f>SUM(F4-F11)</f>
        <v>0</v>
      </c>
      <c r="G13" s="472">
        <f>SUM(G4-G11)</f>
        <v>96631</v>
      </c>
      <c r="H13" s="472">
        <f>SUM(H4-H11)</f>
        <v>12200</v>
      </c>
      <c r="I13" s="785">
        <f t="shared" si="0"/>
        <v>129831</v>
      </c>
    </row>
    <row r="14" spans="1:9" ht="18.75" customHeight="1" x14ac:dyDescent="0.3">
      <c r="A14" s="1035" t="s">
        <v>216</v>
      </c>
      <c r="B14" s="42"/>
      <c r="C14" s="955"/>
      <c r="D14" s="41"/>
      <c r="E14" s="684"/>
      <c r="F14" s="684"/>
      <c r="G14" s="37"/>
      <c r="H14" s="684"/>
      <c r="I14" s="1036"/>
    </row>
    <row r="15" spans="1:9" ht="18.75" customHeight="1" x14ac:dyDescent="0.3">
      <c r="A15" s="957">
        <v>45609</v>
      </c>
      <c r="B15" s="42"/>
      <c r="C15" s="955"/>
      <c r="D15" s="41"/>
      <c r="E15" s="684"/>
      <c r="F15" s="684"/>
      <c r="G15" s="37">
        <v>17969</v>
      </c>
      <c r="H15" s="684"/>
      <c r="I15" s="1036">
        <f t="shared" ref="I15:I29" si="1">SUM(E15:H15)</f>
        <v>17969</v>
      </c>
    </row>
    <row r="16" spans="1:9" ht="18.75" customHeight="1" x14ac:dyDescent="0.3">
      <c r="A16" s="957">
        <v>45623</v>
      </c>
      <c r="B16" s="42"/>
      <c r="C16" s="955"/>
      <c r="D16" s="41"/>
      <c r="E16" s="684">
        <v>10075.880000000001</v>
      </c>
      <c r="F16" s="684"/>
      <c r="G16" s="37"/>
      <c r="H16" s="684"/>
      <c r="I16" s="1036">
        <f t="shared" si="1"/>
        <v>10075.880000000001</v>
      </c>
    </row>
    <row r="17" spans="1:9" ht="18.75" customHeight="1" x14ac:dyDescent="0.3">
      <c r="A17" s="957"/>
      <c r="B17" s="42"/>
      <c r="C17" s="955"/>
      <c r="D17" s="41"/>
      <c r="E17" s="684"/>
      <c r="F17" s="684"/>
      <c r="G17" s="37"/>
      <c r="H17" s="684"/>
      <c r="I17" s="1036">
        <f t="shared" si="1"/>
        <v>0</v>
      </c>
    </row>
    <row r="18" spans="1:9" ht="18.75" customHeight="1" x14ac:dyDescent="0.3">
      <c r="A18" s="1031"/>
      <c r="B18" s="1032"/>
      <c r="C18" s="1033"/>
      <c r="D18" s="1034"/>
      <c r="E18" s="916"/>
      <c r="F18" s="916"/>
      <c r="G18" s="888"/>
      <c r="H18" s="916"/>
      <c r="I18" s="1037">
        <f t="shared" si="1"/>
        <v>0</v>
      </c>
    </row>
    <row r="19" spans="1:9" ht="18.75" customHeight="1" x14ac:dyDescent="0.3">
      <c r="A19" s="742"/>
      <c r="B19" s="482"/>
      <c r="C19" s="482"/>
      <c r="D19" s="149" t="s">
        <v>217</v>
      </c>
      <c r="E19" s="150">
        <f>SUM(E14:E18)</f>
        <v>10075.880000000001</v>
      </c>
      <c r="F19" s="150">
        <f>SUM(F14:F18)</f>
        <v>0</v>
      </c>
      <c r="G19" s="150">
        <f>SUM(G14:G18)</f>
        <v>17969</v>
      </c>
      <c r="H19" s="150">
        <f>SUM(H14:H18)</f>
        <v>0</v>
      </c>
      <c r="I19" s="786">
        <f t="shared" si="1"/>
        <v>28044.880000000001</v>
      </c>
    </row>
    <row r="20" spans="1:9" ht="18.75" customHeight="1" x14ac:dyDescent="0.3">
      <c r="A20" s="742"/>
      <c r="B20" s="482"/>
      <c r="C20" s="482"/>
      <c r="D20" s="149" t="s">
        <v>218</v>
      </c>
      <c r="E20" s="150">
        <f>SUM(E12+E19)</f>
        <v>10075.880000000001</v>
      </c>
      <c r="F20" s="150">
        <f>SUM(F12+F19)</f>
        <v>0</v>
      </c>
      <c r="G20" s="150">
        <f>SUM(G12+G19)</f>
        <v>35938</v>
      </c>
      <c r="H20" s="150">
        <f>SUM(H12+H19)</f>
        <v>0</v>
      </c>
      <c r="I20" s="786">
        <f t="shared" si="1"/>
        <v>46013.880000000005</v>
      </c>
    </row>
    <row r="21" spans="1:9" ht="18.75" customHeight="1" x14ac:dyDescent="0.3">
      <c r="A21" s="743"/>
      <c r="B21" s="484"/>
      <c r="C21" s="484"/>
      <c r="D21" s="152" t="s">
        <v>219</v>
      </c>
      <c r="E21" s="153">
        <f>SUM(E13-E19)</f>
        <v>10924.119999999999</v>
      </c>
      <c r="F21" s="153">
        <f>SUM(F13-F19)</f>
        <v>0</v>
      </c>
      <c r="G21" s="153">
        <f>SUM(G13-G19)</f>
        <v>78662</v>
      </c>
      <c r="H21" s="153">
        <f>SUM(H13-H19)</f>
        <v>12200</v>
      </c>
      <c r="I21" s="787">
        <f t="shared" si="1"/>
        <v>101786.12</v>
      </c>
    </row>
    <row r="22" spans="1:9" ht="18.75" customHeight="1" x14ac:dyDescent="0.3">
      <c r="A22" s="1035" t="s">
        <v>220</v>
      </c>
      <c r="B22" s="42"/>
      <c r="C22" s="955"/>
      <c r="D22" s="41"/>
      <c r="E22" s="684"/>
      <c r="F22" s="684"/>
      <c r="G22" s="37"/>
      <c r="H22" s="684"/>
      <c r="I22" s="1036">
        <f t="shared" si="1"/>
        <v>0</v>
      </c>
    </row>
    <row r="23" spans="1:9" ht="18.75" customHeight="1" x14ac:dyDescent="0.3">
      <c r="A23" s="957">
        <v>45639</v>
      </c>
      <c r="B23" s="42"/>
      <c r="C23" s="955"/>
      <c r="D23" s="41"/>
      <c r="E23" s="684">
        <v>5777.89</v>
      </c>
      <c r="F23" s="684"/>
      <c r="G23" s="37"/>
      <c r="H23" s="684"/>
      <c r="I23" s="1036">
        <f t="shared" si="1"/>
        <v>5777.89</v>
      </c>
    </row>
    <row r="24" spans="1:9" ht="18.75" customHeight="1" x14ac:dyDescent="0.3">
      <c r="A24" s="957">
        <v>45639</v>
      </c>
      <c r="B24" s="42"/>
      <c r="C24" s="955"/>
      <c r="D24" s="41"/>
      <c r="E24" s="684"/>
      <c r="F24" s="684"/>
      <c r="G24" s="37">
        <v>17969</v>
      </c>
      <c r="H24" s="684"/>
      <c r="I24" s="1036">
        <f t="shared" si="1"/>
        <v>17969</v>
      </c>
    </row>
    <row r="25" spans="1:9" ht="18.75" customHeight="1" x14ac:dyDescent="0.3">
      <c r="A25" s="957">
        <v>45652</v>
      </c>
      <c r="B25" s="42"/>
      <c r="C25" s="955"/>
      <c r="D25" s="41"/>
      <c r="E25" s="684"/>
      <c r="F25" s="684"/>
      <c r="G25" s="37">
        <v>930</v>
      </c>
      <c r="H25" s="684"/>
      <c r="I25" s="1036">
        <f t="shared" si="1"/>
        <v>930</v>
      </c>
    </row>
    <row r="26" spans="1:9" ht="18.75" customHeight="1" x14ac:dyDescent="0.3">
      <c r="A26" s="1031"/>
      <c r="B26" s="1032"/>
      <c r="C26" s="1033"/>
      <c r="D26" s="1034"/>
      <c r="E26" s="916"/>
      <c r="F26" s="916"/>
      <c r="G26" s="888"/>
      <c r="H26" s="916"/>
      <c r="I26" s="1037">
        <f t="shared" si="1"/>
        <v>0</v>
      </c>
    </row>
    <row r="27" spans="1:9" ht="18.75" customHeight="1" x14ac:dyDescent="0.3">
      <c r="A27" s="742"/>
      <c r="B27" s="482"/>
      <c r="C27" s="482"/>
      <c r="D27" s="149" t="s">
        <v>221</v>
      </c>
      <c r="E27" s="150">
        <f>SUM(E22:E26)</f>
        <v>5777.89</v>
      </c>
      <c r="F27" s="150">
        <f>SUM(F22:F26)</f>
        <v>0</v>
      </c>
      <c r="G27" s="150">
        <f>SUM(G22:G26)</f>
        <v>18899</v>
      </c>
      <c r="H27" s="150">
        <f>SUM(H22:H26)</f>
        <v>0</v>
      </c>
      <c r="I27" s="786">
        <f t="shared" si="1"/>
        <v>24676.89</v>
      </c>
    </row>
    <row r="28" spans="1:9" ht="18.75" customHeight="1" x14ac:dyDescent="0.3">
      <c r="A28" s="742"/>
      <c r="B28" s="482"/>
      <c r="C28" s="482"/>
      <c r="D28" s="149" t="s">
        <v>222</v>
      </c>
      <c r="E28" s="150">
        <f>SUM(E20+E27)</f>
        <v>15853.77</v>
      </c>
      <c r="F28" s="150">
        <f>SUM(F20+F27)</f>
        <v>0</v>
      </c>
      <c r="G28" s="150">
        <f>SUM(G20+G27)</f>
        <v>54837</v>
      </c>
      <c r="H28" s="150">
        <f>SUM(H20+H27)</f>
        <v>0</v>
      </c>
      <c r="I28" s="786">
        <f t="shared" si="1"/>
        <v>70690.77</v>
      </c>
    </row>
    <row r="29" spans="1:9" ht="18.75" customHeight="1" x14ac:dyDescent="0.3">
      <c r="A29" s="743"/>
      <c r="B29" s="484"/>
      <c r="C29" s="484"/>
      <c r="D29" s="152" t="s">
        <v>223</v>
      </c>
      <c r="E29" s="153">
        <f>SUM(E21-E27)</f>
        <v>5146.2299999999987</v>
      </c>
      <c r="F29" s="153">
        <f>SUM(F21-F27)</f>
        <v>0</v>
      </c>
      <c r="G29" s="153">
        <f>SUM(G21-G27)</f>
        <v>59763</v>
      </c>
      <c r="H29" s="153">
        <f>SUM(H21-H27)</f>
        <v>12200</v>
      </c>
      <c r="I29" s="787">
        <f t="shared" si="1"/>
        <v>77109.23</v>
      </c>
    </row>
    <row r="30" spans="1:9" ht="18.75" customHeight="1" x14ac:dyDescent="0.3">
      <c r="A30" s="1035" t="s">
        <v>224</v>
      </c>
      <c r="B30" s="42"/>
      <c r="C30" s="955"/>
      <c r="D30" s="41"/>
      <c r="E30" s="684"/>
      <c r="F30" s="684"/>
      <c r="G30" s="37"/>
      <c r="H30" s="684"/>
      <c r="I30" s="1036"/>
    </row>
    <row r="31" spans="1:9" ht="18.75" customHeight="1" x14ac:dyDescent="0.3">
      <c r="A31" s="957">
        <v>45670</v>
      </c>
      <c r="B31" s="42"/>
      <c r="C31" s="955"/>
      <c r="D31" s="41"/>
      <c r="E31" s="684"/>
      <c r="F31" s="684"/>
      <c r="G31" s="37">
        <v>19469</v>
      </c>
      <c r="H31" s="684"/>
      <c r="I31" s="1036">
        <f t="shared" ref="I31:I37" si="2">SUM(E31:H31)</f>
        <v>19469</v>
      </c>
    </row>
    <row r="32" spans="1:9" ht="18.75" customHeight="1" x14ac:dyDescent="0.3">
      <c r="A32" s="957">
        <v>45673</v>
      </c>
      <c r="B32" s="42"/>
      <c r="C32" s="955"/>
      <c r="D32" s="41"/>
      <c r="E32" s="684"/>
      <c r="F32" s="684"/>
      <c r="G32" s="37"/>
      <c r="H32" s="684">
        <v>5748</v>
      </c>
      <c r="I32" s="1036">
        <f t="shared" si="2"/>
        <v>5748</v>
      </c>
    </row>
    <row r="33" spans="1:9" ht="18.75" customHeight="1" x14ac:dyDescent="0.3">
      <c r="A33" s="957"/>
      <c r="B33" s="42"/>
      <c r="C33" s="955"/>
      <c r="D33" s="41"/>
      <c r="E33" s="684">
        <v>5777.89</v>
      </c>
      <c r="F33" s="684"/>
      <c r="G33" s="37"/>
      <c r="H33" s="684"/>
      <c r="I33" s="1036">
        <f t="shared" si="2"/>
        <v>5777.89</v>
      </c>
    </row>
    <row r="34" spans="1:9" ht="18.75" customHeight="1" x14ac:dyDescent="0.3">
      <c r="A34" s="1031"/>
      <c r="B34" s="1032"/>
      <c r="C34" s="1033"/>
      <c r="D34" s="1034"/>
      <c r="E34" s="916"/>
      <c r="F34" s="916"/>
      <c r="G34" s="888"/>
      <c r="H34" s="916"/>
      <c r="I34" s="1037">
        <f t="shared" si="2"/>
        <v>0</v>
      </c>
    </row>
    <row r="35" spans="1:9" ht="18.75" customHeight="1" x14ac:dyDescent="0.3">
      <c r="A35" s="742"/>
      <c r="B35" s="482"/>
      <c r="C35" s="482"/>
      <c r="D35" s="149" t="s">
        <v>225</v>
      </c>
      <c r="E35" s="150">
        <f>SUM(E30:E34)</f>
        <v>5777.89</v>
      </c>
      <c r="F35" s="150">
        <f>SUM(F30:F34)</f>
        <v>0</v>
      </c>
      <c r="G35" s="150">
        <f>SUM(G30:G34)</f>
        <v>19469</v>
      </c>
      <c r="H35" s="150">
        <f>SUM(H30:H34)</f>
        <v>5748</v>
      </c>
      <c r="I35" s="786">
        <f t="shared" si="2"/>
        <v>30994.89</v>
      </c>
    </row>
    <row r="36" spans="1:9" ht="18.75" customHeight="1" x14ac:dyDescent="0.3">
      <c r="A36" s="742"/>
      <c r="B36" s="482"/>
      <c r="C36" s="482"/>
      <c r="D36" s="149" t="s">
        <v>226</v>
      </c>
      <c r="E36" s="150">
        <f>SUM(E28+E35)</f>
        <v>21631.66</v>
      </c>
      <c r="F36" s="150">
        <f>SUM(F28+F35)</f>
        <v>0</v>
      </c>
      <c r="G36" s="150">
        <f>SUM(G28+G35)</f>
        <v>74306</v>
      </c>
      <c r="H36" s="150">
        <f>SUM(H28+H35)</f>
        <v>5748</v>
      </c>
      <c r="I36" s="786">
        <f t="shared" si="2"/>
        <v>101685.66</v>
      </c>
    </row>
    <row r="37" spans="1:9" ht="18.75" customHeight="1" x14ac:dyDescent="0.3">
      <c r="A37" s="743"/>
      <c r="B37" s="484"/>
      <c r="C37" s="484"/>
      <c r="D37" s="152" t="s">
        <v>227</v>
      </c>
      <c r="E37" s="153">
        <f>SUM(E29-E35)</f>
        <v>-631.66000000000167</v>
      </c>
      <c r="F37" s="153">
        <f>SUM(F29-F35)</f>
        <v>0</v>
      </c>
      <c r="G37" s="153">
        <f>SUM(G29-G35)</f>
        <v>40294</v>
      </c>
      <c r="H37" s="153">
        <f>SUM(H29-H35)</f>
        <v>6452</v>
      </c>
      <c r="I37" s="787">
        <f t="shared" si="2"/>
        <v>46114.34</v>
      </c>
    </row>
    <row r="38" spans="1:9" ht="18.75" customHeight="1" x14ac:dyDescent="0.3">
      <c r="A38" s="1035" t="s">
        <v>228</v>
      </c>
      <c r="B38" s="42"/>
      <c r="C38" s="955"/>
      <c r="D38" s="41"/>
      <c r="E38" s="684"/>
      <c r="F38" s="684"/>
      <c r="G38" s="37"/>
      <c r="H38" s="684"/>
      <c r="I38" s="1036"/>
    </row>
    <row r="39" spans="1:9" ht="18.75" customHeight="1" x14ac:dyDescent="0.3">
      <c r="A39" s="957"/>
      <c r="B39" s="42"/>
      <c r="C39" s="955"/>
      <c r="D39" s="41"/>
      <c r="E39" s="684"/>
      <c r="F39" s="684"/>
      <c r="G39" s="37"/>
      <c r="H39" s="684"/>
      <c r="I39" s="1036">
        <f t="shared" ref="I39:I45" si="3">SUM(E39:H39)</f>
        <v>0</v>
      </c>
    </row>
    <row r="40" spans="1:9" ht="18.75" customHeight="1" x14ac:dyDescent="0.3">
      <c r="A40" s="957"/>
      <c r="B40" s="42"/>
      <c r="C40" s="955"/>
      <c r="D40" s="41"/>
      <c r="E40" s="684"/>
      <c r="F40" s="684"/>
      <c r="G40" s="37"/>
      <c r="H40" s="684"/>
      <c r="I40" s="1036">
        <f t="shared" si="3"/>
        <v>0</v>
      </c>
    </row>
    <row r="41" spans="1:9" ht="18.75" customHeight="1" x14ac:dyDescent="0.3">
      <c r="A41" s="957"/>
      <c r="B41" s="42"/>
      <c r="C41" s="955"/>
      <c r="D41" s="41"/>
      <c r="E41" s="684"/>
      <c r="F41" s="684"/>
      <c r="G41" s="37"/>
      <c r="H41" s="684"/>
      <c r="I41" s="1036">
        <f t="shared" si="3"/>
        <v>0</v>
      </c>
    </row>
    <row r="42" spans="1:9" ht="18.75" customHeight="1" x14ac:dyDescent="0.3">
      <c r="A42" s="1031"/>
      <c r="B42" s="1032"/>
      <c r="C42" s="1033"/>
      <c r="D42" s="1034"/>
      <c r="E42" s="916"/>
      <c r="F42" s="916"/>
      <c r="G42" s="888"/>
      <c r="H42" s="916"/>
      <c r="I42" s="1037">
        <f t="shared" si="3"/>
        <v>0</v>
      </c>
    </row>
    <row r="43" spans="1:9" ht="18.75" customHeight="1" x14ac:dyDescent="0.3">
      <c r="A43" s="742"/>
      <c r="B43" s="482"/>
      <c r="C43" s="482"/>
      <c r="D43" s="149" t="s">
        <v>229</v>
      </c>
      <c r="E43" s="150">
        <f>SUM(E38:E42)</f>
        <v>0</v>
      </c>
      <c r="F43" s="150">
        <f>SUM(F38:F42)</f>
        <v>0</v>
      </c>
      <c r="G43" s="150">
        <f>SUM(G38:G42)</f>
        <v>0</v>
      </c>
      <c r="H43" s="150">
        <f>SUM(H38:H42)</f>
        <v>0</v>
      </c>
      <c r="I43" s="786">
        <f t="shared" si="3"/>
        <v>0</v>
      </c>
    </row>
    <row r="44" spans="1:9" ht="18.75" customHeight="1" x14ac:dyDescent="0.3">
      <c r="A44" s="742"/>
      <c r="B44" s="482"/>
      <c r="C44" s="482"/>
      <c r="D44" s="149" t="s">
        <v>230</v>
      </c>
      <c r="E44" s="150">
        <f>SUM(E36+E43)</f>
        <v>21631.66</v>
      </c>
      <c r="F44" s="150">
        <f>SUM(F36+F43)</f>
        <v>0</v>
      </c>
      <c r="G44" s="150">
        <f>SUM(G36+G43)</f>
        <v>74306</v>
      </c>
      <c r="H44" s="150">
        <f>SUM(H36+H43)</f>
        <v>5748</v>
      </c>
      <c r="I44" s="786">
        <f t="shared" si="3"/>
        <v>101685.66</v>
      </c>
    </row>
    <row r="45" spans="1:9" ht="18.75" customHeight="1" x14ac:dyDescent="0.3">
      <c r="A45" s="743"/>
      <c r="B45" s="484"/>
      <c r="C45" s="484"/>
      <c r="D45" s="152" t="s">
        <v>231</v>
      </c>
      <c r="E45" s="153">
        <f>SUM(E37-E43)</f>
        <v>-631.66000000000167</v>
      </c>
      <c r="F45" s="153">
        <f>SUM(F37-F43)</f>
        <v>0</v>
      </c>
      <c r="G45" s="153">
        <f>SUM(G37-G43)</f>
        <v>40294</v>
      </c>
      <c r="H45" s="153">
        <f>SUM(H37-H43)</f>
        <v>6452</v>
      </c>
      <c r="I45" s="787">
        <f t="shared" si="3"/>
        <v>46114.34</v>
      </c>
    </row>
    <row r="46" spans="1:9" ht="18.75" customHeight="1" x14ac:dyDescent="0.3">
      <c r="A46" s="1035" t="s">
        <v>232</v>
      </c>
      <c r="B46" s="42"/>
      <c r="C46" s="955"/>
      <c r="D46" s="41"/>
      <c r="E46" s="684"/>
      <c r="F46" s="684"/>
      <c r="G46" s="37"/>
      <c r="H46" s="684"/>
      <c r="I46" s="1036"/>
    </row>
    <row r="47" spans="1:9" ht="18.75" customHeight="1" x14ac:dyDescent="0.3">
      <c r="A47" s="957"/>
      <c r="B47" s="42"/>
      <c r="C47" s="955"/>
      <c r="D47" s="41"/>
      <c r="E47" s="684"/>
      <c r="F47" s="684"/>
      <c r="G47" s="37"/>
      <c r="H47" s="684"/>
      <c r="I47" s="1036">
        <f t="shared" ref="I47:I53" si="4">SUM(E47:H47)</f>
        <v>0</v>
      </c>
    </row>
    <row r="48" spans="1:9" ht="18.75" customHeight="1" x14ac:dyDescent="0.3">
      <c r="A48" s="957"/>
      <c r="B48" s="42"/>
      <c r="C48" s="955"/>
      <c r="D48" s="41"/>
      <c r="E48" s="684"/>
      <c r="F48" s="684"/>
      <c r="G48" s="37"/>
      <c r="H48" s="684"/>
      <c r="I48" s="1036">
        <f t="shared" si="4"/>
        <v>0</v>
      </c>
    </row>
    <row r="49" spans="1:9" ht="18.75" customHeight="1" x14ac:dyDescent="0.3">
      <c r="A49" s="957"/>
      <c r="B49" s="42"/>
      <c r="C49" s="955"/>
      <c r="D49" s="41"/>
      <c r="E49" s="684"/>
      <c r="F49" s="684"/>
      <c r="G49" s="37"/>
      <c r="H49" s="684"/>
      <c r="I49" s="1036">
        <f t="shared" si="4"/>
        <v>0</v>
      </c>
    </row>
    <row r="50" spans="1:9" ht="18.75" customHeight="1" x14ac:dyDescent="0.3">
      <c r="A50" s="1031"/>
      <c r="B50" s="1032"/>
      <c r="C50" s="1033"/>
      <c r="D50" s="1034"/>
      <c r="E50" s="916"/>
      <c r="F50" s="916"/>
      <c r="G50" s="888"/>
      <c r="H50" s="916"/>
      <c r="I50" s="1037">
        <f t="shared" si="4"/>
        <v>0</v>
      </c>
    </row>
    <row r="51" spans="1:9" ht="18.75" customHeight="1" x14ac:dyDescent="0.3">
      <c r="A51" s="742"/>
      <c r="B51" s="482"/>
      <c r="C51" s="482"/>
      <c r="D51" s="149" t="s">
        <v>233</v>
      </c>
      <c r="E51" s="150">
        <f>SUM(E46:E50)</f>
        <v>0</v>
      </c>
      <c r="F51" s="150">
        <f>SUM(F46:F50)</f>
        <v>0</v>
      </c>
      <c r="G51" s="150">
        <f>SUM(G46:G50)</f>
        <v>0</v>
      </c>
      <c r="H51" s="150">
        <f>SUM(H46:H50)</f>
        <v>0</v>
      </c>
      <c r="I51" s="786">
        <f t="shared" si="4"/>
        <v>0</v>
      </c>
    </row>
    <row r="52" spans="1:9" ht="18.75" customHeight="1" x14ac:dyDescent="0.3">
      <c r="A52" s="742"/>
      <c r="B52" s="482"/>
      <c r="C52" s="482"/>
      <c r="D52" s="149" t="s">
        <v>234</v>
      </c>
      <c r="E52" s="150">
        <f>SUM(E44+E51)</f>
        <v>21631.66</v>
      </c>
      <c r="F52" s="150">
        <f>SUM(F44+F51)</f>
        <v>0</v>
      </c>
      <c r="G52" s="150">
        <f>SUM(G44+G51)</f>
        <v>74306</v>
      </c>
      <c r="H52" s="150">
        <f>SUM(H44+H51)</f>
        <v>5748</v>
      </c>
      <c r="I52" s="786">
        <f t="shared" si="4"/>
        <v>101685.66</v>
      </c>
    </row>
    <row r="53" spans="1:9" ht="18.75" customHeight="1" x14ac:dyDescent="0.3">
      <c r="A53" s="743"/>
      <c r="B53" s="484"/>
      <c r="C53" s="484"/>
      <c r="D53" s="152" t="s">
        <v>235</v>
      </c>
      <c r="E53" s="153">
        <f>SUM(E45-E51)</f>
        <v>-631.66000000000167</v>
      </c>
      <c r="F53" s="153">
        <f>SUM(F45-F51)</f>
        <v>0</v>
      </c>
      <c r="G53" s="153">
        <f>SUM(G45-G51)</f>
        <v>40294</v>
      </c>
      <c r="H53" s="153">
        <f>SUM(H45-H51)</f>
        <v>6452</v>
      </c>
      <c r="I53" s="787">
        <f t="shared" si="4"/>
        <v>46114.34</v>
      </c>
    </row>
    <row r="54" spans="1:9" ht="18.75" customHeight="1" x14ac:dyDescent="0.3">
      <c r="A54" s="1035" t="s">
        <v>236</v>
      </c>
      <c r="B54" s="42"/>
      <c r="C54" s="955"/>
      <c r="D54" s="41"/>
      <c r="E54" s="684"/>
      <c r="F54" s="684"/>
      <c r="G54" s="37"/>
      <c r="H54" s="684"/>
      <c r="I54" s="1036"/>
    </row>
    <row r="55" spans="1:9" ht="18.75" customHeight="1" x14ac:dyDescent="0.3">
      <c r="A55" s="957"/>
      <c r="B55" s="42"/>
      <c r="C55" s="955"/>
      <c r="D55" s="41"/>
      <c r="E55" s="684"/>
      <c r="F55" s="684"/>
      <c r="G55" s="37"/>
      <c r="H55" s="684"/>
      <c r="I55" s="1036">
        <f t="shared" ref="I55:I61" si="5">SUM(E55:H55)</f>
        <v>0</v>
      </c>
    </row>
    <row r="56" spans="1:9" ht="18.75" customHeight="1" x14ac:dyDescent="0.3">
      <c r="A56" s="957"/>
      <c r="B56" s="42"/>
      <c r="C56" s="955"/>
      <c r="D56" s="41"/>
      <c r="E56" s="684"/>
      <c r="F56" s="684"/>
      <c r="G56" s="37"/>
      <c r="H56" s="684"/>
      <c r="I56" s="1036">
        <f t="shared" si="5"/>
        <v>0</v>
      </c>
    </row>
    <row r="57" spans="1:9" ht="18.75" customHeight="1" x14ac:dyDescent="0.3">
      <c r="A57" s="957"/>
      <c r="B57" s="42"/>
      <c r="C57" s="955"/>
      <c r="D57" s="41"/>
      <c r="E57" s="684"/>
      <c r="F57" s="684"/>
      <c r="G57" s="37"/>
      <c r="H57" s="684"/>
      <c r="I57" s="1036">
        <f t="shared" si="5"/>
        <v>0</v>
      </c>
    </row>
    <row r="58" spans="1:9" ht="18.75" customHeight="1" x14ac:dyDescent="0.3">
      <c r="A58" s="1031"/>
      <c r="B58" s="1032"/>
      <c r="C58" s="1033"/>
      <c r="D58" s="1034"/>
      <c r="E58" s="916"/>
      <c r="F58" s="916"/>
      <c r="G58" s="888"/>
      <c r="H58" s="916"/>
      <c r="I58" s="1037">
        <f t="shared" si="5"/>
        <v>0</v>
      </c>
    </row>
    <row r="59" spans="1:9" ht="18.75" customHeight="1" x14ac:dyDescent="0.3">
      <c r="A59" s="742"/>
      <c r="B59" s="482"/>
      <c r="C59" s="482"/>
      <c r="D59" s="149" t="s">
        <v>237</v>
      </c>
      <c r="E59" s="150">
        <f>SUM(E54:E58)</f>
        <v>0</v>
      </c>
      <c r="F59" s="150">
        <f>SUM(F54:F58)</f>
        <v>0</v>
      </c>
      <c r="G59" s="150">
        <f>SUM(G54:G58)</f>
        <v>0</v>
      </c>
      <c r="H59" s="150">
        <f>SUM(H54:H58)</f>
        <v>0</v>
      </c>
      <c r="I59" s="786">
        <f t="shared" si="5"/>
        <v>0</v>
      </c>
    </row>
    <row r="60" spans="1:9" ht="18.75" customHeight="1" x14ac:dyDescent="0.3">
      <c r="A60" s="742"/>
      <c r="B60" s="482"/>
      <c r="C60" s="482"/>
      <c r="D60" s="149" t="s">
        <v>238</v>
      </c>
      <c r="E60" s="150">
        <f>SUM(E52+E59)</f>
        <v>21631.66</v>
      </c>
      <c r="F60" s="150">
        <f>SUM(F52+F59)</f>
        <v>0</v>
      </c>
      <c r="G60" s="150">
        <f>SUM(G52+G59)</f>
        <v>74306</v>
      </c>
      <c r="H60" s="150">
        <f>SUM(H52+H59)</f>
        <v>5748</v>
      </c>
      <c r="I60" s="786">
        <f t="shared" si="5"/>
        <v>101685.66</v>
      </c>
    </row>
    <row r="61" spans="1:9" ht="18.75" customHeight="1" x14ac:dyDescent="0.3">
      <c r="A61" s="743"/>
      <c r="B61" s="484"/>
      <c r="C61" s="484"/>
      <c r="D61" s="152" t="s">
        <v>239</v>
      </c>
      <c r="E61" s="153">
        <f>SUM(E53-E59)</f>
        <v>-631.66000000000167</v>
      </c>
      <c r="F61" s="153">
        <f>SUM(F53-F59)+926600</f>
        <v>926600</v>
      </c>
      <c r="G61" s="153">
        <f>SUM(G53-G59)+69800</f>
        <v>110094</v>
      </c>
      <c r="H61" s="153">
        <f>SUM(H53-H59)+3700</f>
        <v>10152</v>
      </c>
      <c r="I61" s="787">
        <f t="shared" si="5"/>
        <v>1046214.34</v>
      </c>
    </row>
    <row r="62" spans="1:9" ht="18.75" customHeight="1" x14ac:dyDescent="0.3">
      <c r="A62" s="1035" t="s">
        <v>240</v>
      </c>
      <c r="B62" s="42"/>
      <c r="C62" s="955"/>
      <c r="D62" s="41"/>
      <c r="E62" s="684"/>
      <c r="F62" s="684"/>
      <c r="G62" s="37"/>
      <c r="H62" s="684"/>
      <c r="I62" s="1036"/>
    </row>
    <row r="63" spans="1:9" ht="18.75" customHeight="1" x14ac:dyDescent="0.3">
      <c r="A63" s="957"/>
      <c r="B63" s="42"/>
      <c r="C63" s="955"/>
      <c r="D63" s="41"/>
      <c r="E63" s="684"/>
      <c r="F63" s="684"/>
      <c r="G63" s="37"/>
      <c r="H63" s="684"/>
      <c r="I63" s="1036">
        <f t="shared" ref="I63:I69" si="6">SUM(E63:H63)</f>
        <v>0</v>
      </c>
    </row>
    <row r="64" spans="1:9" ht="18.75" customHeight="1" x14ac:dyDescent="0.3">
      <c r="A64" s="957"/>
      <c r="B64" s="42"/>
      <c r="C64" s="955"/>
      <c r="D64" s="41"/>
      <c r="E64" s="684"/>
      <c r="F64" s="684"/>
      <c r="G64" s="37"/>
      <c r="H64" s="684"/>
      <c r="I64" s="1036">
        <f t="shared" si="6"/>
        <v>0</v>
      </c>
    </row>
    <row r="65" spans="1:9" ht="18.75" customHeight="1" x14ac:dyDescent="0.3">
      <c r="A65" s="957"/>
      <c r="B65" s="42"/>
      <c r="C65" s="955"/>
      <c r="D65" s="41"/>
      <c r="E65" s="684"/>
      <c r="F65" s="684"/>
      <c r="G65" s="37"/>
      <c r="H65" s="684"/>
      <c r="I65" s="1036">
        <f t="shared" si="6"/>
        <v>0</v>
      </c>
    </row>
    <row r="66" spans="1:9" ht="18.75" customHeight="1" x14ac:dyDescent="0.3">
      <c r="A66" s="1031"/>
      <c r="B66" s="1032"/>
      <c r="C66" s="1033"/>
      <c r="D66" s="1034"/>
      <c r="E66" s="916"/>
      <c r="F66" s="916"/>
      <c r="G66" s="888"/>
      <c r="H66" s="916"/>
      <c r="I66" s="1037">
        <f t="shared" si="6"/>
        <v>0</v>
      </c>
    </row>
    <row r="67" spans="1:9" ht="18.75" customHeight="1" x14ac:dyDescent="0.3">
      <c r="A67" s="742"/>
      <c r="B67" s="482"/>
      <c r="C67" s="482"/>
      <c r="D67" s="149" t="s">
        <v>241</v>
      </c>
      <c r="E67" s="150">
        <f>SUM(E62:E66)</f>
        <v>0</v>
      </c>
      <c r="F67" s="150">
        <f>SUM(F62:F66)</f>
        <v>0</v>
      </c>
      <c r="G67" s="150">
        <f>SUM(G62:G66)</f>
        <v>0</v>
      </c>
      <c r="H67" s="150">
        <f>SUM(H62:H66)</f>
        <v>0</v>
      </c>
      <c r="I67" s="786">
        <f t="shared" si="6"/>
        <v>0</v>
      </c>
    </row>
    <row r="68" spans="1:9" ht="18.75" customHeight="1" x14ac:dyDescent="0.3">
      <c r="A68" s="742"/>
      <c r="B68" s="482"/>
      <c r="C68" s="482"/>
      <c r="D68" s="149" t="s">
        <v>242</v>
      </c>
      <c r="E68" s="150">
        <f>SUM(E60+E67)</f>
        <v>21631.66</v>
      </c>
      <c r="F68" s="150">
        <f>SUM(F60+F67)</f>
        <v>0</v>
      </c>
      <c r="G68" s="150">
        <f>SUM(G60+G67)</f>
        <v>74306</v>
      </c>
      <c r="H68" s="150">
        <f>SUM(H60+H67)</f>
        <v>5748</v>
      </c>
      <c r="I68" s="786">
        <f t="shared" si="6"/>
        <v>101685.66</v>
      </c>
    </row>
    <row r="69" spans="1:9" ht="18.75" customHeight="1" x14ac:dyDescent="0.3">
      <c r="A69" s="743"/>
      <c r="B69" s="484"/>
      <c r="C69" s="484"/>
      <c r="D69" s="152" t="s">
        <v>243</v>
      </c>
      <c r="E69" s="153">
        <f>SUM(E61-E67)</f>
        <v>-631.66000000000167</v>
      </c>
      <c r="F69" s="153">
        <f>SUM(F61-F67)</f>
        <v>926600</v>
      </c>
      <c r="G69" s="153">
        <f>SUM(G61-G67)</f>
        <v>110094</v>
      </c>
      <c r="H69" s="153">
        <f>SUM(H61-H67)</f>
        <v>10152</v>
      </c>
      <c r="I69" s="787">
        <f t="shared" si="6"/>
        <v>1046214.34</v>
      </c>
    </row>
    <row r="70" spans="1:9" ht="18.75" customHeight="1" x14ac:dyDescent="0.3">
      <c r="A70" s="1035" t="s">
        <v>244</v>
      </c>
      <c r="B70" s="42"/>
      <c r="C70" s="955"/>
      <c r="D70" s="41"/>
      <c r="E70" s="684"/>
      <c r="F70" s="684"/>
      <c r="G70" s="37"/>
      <c r="H70" s="684"/>
      <c r="I70" s="1036"/>
    </row>
    <row r="71" spans="1:9" ht="18.75" customHeight="1" x14ac:dyDescent="0.3">
      <c r="A71" s="957"/>
      <c r="B71" s="42"/>
      <c r="C71" s="955"/>
      <c r="D71" s="41"/>
      <c r="E71" s="684"/>
      <c r="F71" s="684"/>
      <c r="G71" s="37"/>
      <c r="H71" s="684"/>
      <c r="I71" s="1036">
        <f t="shared" ref="I71:I77" si="7">SUM(E71:H71)</f>
        <v>0</v>
      </c>
    </row>
    <row r="72" spans="1:9" ht="18.75" customHeight="1" x14ac:dyDescent="0.3">
      <c r="A72" s="957"/>
      <c r="B72" s="42"/>
      <c r="C72" s="955"/>
      <c r="D72" s="41"/>
      <c r="E72" s="684"/>
      <c r="F72" s="684"/>
      <c r="G72" s="37"/>
      <c r="H72" s="684"/>
      <c r="I72" s="1036">
        <f t="shared" si="7"/>
        <v>0</v>
      </c>
    </row>
    <row r="73" spans="1:9" ht="18.75" customHeight="1" x14ac:dyDescent="0.3">
      <c r="A73" s="957"/>
      <c r="B73" s="42"/>
      <c r="C73" s="955"/>
      <c r="D73" s="41"/>
      <c r="E73" s="684"/>
      <c r="F73" s="684"/>
      <c r="G73" s="37"/>
      <c r="H73" s="684"/>
      <c r="I73" s="1036">
        <f t="shared" si="7"/>
        <v>0</v>
      </c>
    </row>
    <row r="74" spans="1:9" ht="18.75" customHeight="1" x14ac:dyDescent="0.3">
      <c r="A74" s="1031"/>
      <c r="B74" s="1032"/>
      <c r="C74" s="1033"/>
      <c r="D74" s="1034"/>
      <c r="E74" s="916"/>
      <c r="F74" s="916"/>
      <c r="G74" s="888"/>
      <c r="H74" s="916"/>
      <c r="I74" s="1037">
        <f t="shared" si="7"/>
        <v>0</v>
      </c>
    </row>
    <row r="75" spans="1:9" ht="18.75" customHeight="1" x14ac:dyDescent="0.3">
      <c r="A75" s="742"/>
      <c r="B75" s="482"/>
      <c r="C75" s="482"/>
      <c r="D75" s="149" t="s">
        <v>245</v>
      </c>
      <c r="E75" s="150">
        <f>SUM(E70:E74)</f>
        <v>0</v>
      </c>
      <c r="F75" s="150">
        <f>SUM(F70:F74)</f>
        <v>0</v>
      </c>
      <c r="G75" s="150">
        <f>SUM(G70:G74)</f>
        <v>0</v>
      </c>
      <c r="H75" s="150">
        <f>SUM(H70:H74)</f>
        <v>0</v>
      </c>
      <c r="I75" s="786">
        <f t="shared" si="7"/>
        <v>0</v>
      </c>
    </row>
    <row r="76" spans="1:9" ht="18.75" customHeight="1" x14ac:dyDescent="0.3">
      <c r="A76" s="742"/>
      <c r="B76" s="482"/>
      <c r="C76" s="482"/>
      <c r="D76" s="149" t="s">
        <v>246</v>
      </c>
      <c r="E76" s="150">
        <f>SUM(E68+E75)</f>
        <v>21631.66</v>
      </c>
      <c r="F76" s="150">
        <f>SUM(F68+F75)</f>
        <v>0</v>
      </c>
      <c r="G76" s="150">
        <f>SUM(G68+G75)</f>
        <v>74306</v>
      </c>
      <c r="H76" s="150">
        <f>SUM(H68+H75)</f>
        <v>5748</v>
      </c>
      <c r="I76" s="786">
        <f t="shared" si="7"/>
        <v>101685.66</v>
      </c>
    </row>
    <row r="77" spans="1:9" ht="18.75" customHeight="1" x14ac:dyDescent="0.3">
      <c r="A77" s="743"/>
      <c r="B77" s="484"/>
      <c r="C77" s="484"/>
      <c r="D77" s="152" t="s">
        <v>247</v>
      </c>
      <c r="E77" s="153">
        <f>SUM(E69-E75)</f>
        <v>-631.66000000000167</v>
      </c>
      <c r="F77" s="153">
        <f>SUM(F69-F75)</f>
        <v>926600</v>
      </c>
      <c r="G77" s="153">
        <f>SUM(G69-G75)</f>
        <v>110094</v>
      </c>
      <c r="H77" s="153">
        <f>SUM(H69-H75)</f>
        <v>10152</v>
      </c>
      <c r="I77" s="787">
        <f t="shared" si="7"/>
        <v>1046214.34</v>
      </c>
    </row>
    <row r="78" spans="1:9" ht="18.75" customHeight="1" x14ac:dyDescent="0.3">
      <c r="A78" s="1035" t="s">
        <v>248</v>
      </c>
      <c r="B78" s="42"/>
      <c r="C78" s="955"/>
      <c r="D78" s="41"/>
      <c r="E78" s="684"/>
      <c r="F78" s="684"/>
      <c r="G78" s="37"/>
      <c r="H78" s="684"/>
      <c r="I78" s="1036"/>
    </row>
    <row r="79" spans="1:9" ht="18.75" customHeight="1" x14ac:dyDescent="0.3">
      <c r="A79" s="957"/>
      <c r="B79" s="42"/>
      <c r="C79" s="955"/>
      <c r="D79" s="41"/>
      <c r="E79" s="684"/>
      <c r="F79" s="684"/>
      <c r="G79" s="37"/>
      <c r="H79" s="684"/>
      <c r="I79" s="1036">
        <f t="shared" ref="I79:I85" si="8">SUM(E79:H79)</f>
        <v>0</v>
      </c>
    </row>
    <row r="80" spans="1:9" ht="18.75" customHeight="1" x14ac:dyDescent="0.3">
      <c r="A80" s="957"/>
      <c r="B80" s="42"/>
      <c r="C80" s="955"/>
      <c r="D80" s="41"/>
      <c r="E80" s="684"/>
      <c r="F80" s="684"/>
      <c r="G80" s="37"/>
      <c r="H80" s="684"/>
      <c r="I80" s="1036">
        <f t="shared" si="8"/>
        <v>0</v>
      </c>
    </row>
    <row r="81" spans="1:9" ht="18.75" customHeight="1" x14ac:dyDescent="0.3">
      <c r="A81" s="957"/>
      <c r="B81" s="42"/>
      <c r="C81" s="955"/>
      <c r="D81" s="41"/>
      <c r="E81" s="684"/>
      <c r="F81" s="684"/>
      <c r="G81" s="37"/>
      <c r="H81" s="684"/>
      <c r="I81" s="1036">
        <f t="shared" si="8"/>
        <v>0</v>
      </c>
    </row>
    <row r="82" spans="1:9" ht="18.75" customHeight="1" x14ac:dyDescent="0.3">
      <c r="A82" s="1031"/>
      <c r="B82" s="1032"/>
      <c r="C82" s="1033"/>
      <c r="D82" s="1034"/>
      <c r="E82" s="916"/>
      <c r="F82" s="916"/>
      <c r="G82" s="888"/>
      <c r="H82" s="916"/>
      <c r="I82" s="1037">
        <f t="shared" si="8"/>
        <v>0</v>
      </c>
    </row>
    <row r="83" spans="1:9" ht="18.75" customHeight="1" x14ac:dyDescent="0.3">
      <c r="A83" s="742"/>
      <c r="B83" s="482"/>
      <c r="C83" s="482"/>
      <c r="D83" s="149" t="s">
        <v>249</v>
      </c>
      <c r="E83" s="150">
        <f>SUM(E78:E82)</f>
        <v>0</v>
      </c>
      <c r="F83" s="150">
        <f>SUM(F78:F82)</f>
        <v>0</v>
      </c>
      <c r="G83" s="150">
        <f>SUM(G78:G82)</f>
        <v>0</v>
      </c>
      <c r="H83" s="150">
        <f>SUM(H78:H82)</f>
        <v>0</v>
      </c>
      <c r="I83" s="786">
        <f t="shared" si="8"/>
        <v>0</v>
      </c>
    </row>
    <row r="84" spans="1:9" ht="18.75" customHeight="1" x14ac:dyDescent="0.3">
      <c r="A84" s="742"/>
      <c r="B84" s="482"/>
      <c r="C84" s="482"/>
      <c r="D84" s="149" t="s">
        <v>250</v>
      </c>
      <c r="E84" s="150">
        <f>SUM(E76+E83)</f>
        <v>21631.66</v>
      </c>
      <c r="F84" s="150">
        <f>SUM(F76+F83)</f>
        <v>0</v>
      </c>
      <c r="G84" s="150">
        <f>SUM(G76+G83)</f>
        <v>74306</v>
      </c>
      <c r="H84" s="150">
        <f>SUM(H76+H83)</f>
        <v>5748</v>
      </c>
      <c r="I84" s="786">
        <f t="shared" si="8"/>
        <v>101685.66</v>
      </c>
    </row>
    <row r="85" spans="1:9" ht="18.75" customHeight="1" x14ac:dyDescent="0.3">
      <c r="A85" s="743"/>
      <c r="B85" s="484"/>
      <c r="C85" s="484"/>
      <c r="D85" s="152" t="s">
        <v>251</v>
      </c>
      <c r="E85" s="153">
        <f>SUM(E77-E83)</f>
        <v>-631.66000000000167</v>
      </c>
      <c r="F85" s="153">
        <f>SUM(F77-F83)</f>
        <v>926600</v>
      </c>
      <c r="G85" s="153">
        <f>SUM(G77-G83)</f>
        <v>110094</v>
      </c>
      <c r="H85" s="153">
        <f>SUM(H77-H83)</f>
        <v>10152</v>
      </c>
      <c r="I85" s="787">
        <f t="shared" si="8"/>
        <v>1046214.34</v>
      </c>
    </row>
    <row r="86" spans="1:9" ht="18.75" customHeight="1" x14ac:dyDescent="0.3">
      <c r="A86" s="1035" t="s">
        <v>252</v>
      </c>
      <c r="B86" s="42"/>
      <c r="C86" s="955"/>
      <c r="D86" s="41"/>
      <c r="E86" s="684"/>
      <c r="F86" s="684"/>
      <c r="G86" s="37"/>
      <c r="H86" s="684"/>
      <c r="I86" s="1036"/>
    </row>
    <row r="87" spans="1:9" ht="18.75" customHeight="1" x14ac:dyDescent="0.3">
      <c r="A87" s="957"/>
      <c r="B87" s="42"/>
      <c r="C87" s="955"/>
      <c r="D87" s="41"/>
      <c r="E87" s="684"/>
      <c r="F87" s="684"/>
      <c r="G87" s="37"/>
      <c r="H87" s="684"/>
      <c r="I87" s="1036">
        <f t="shared" ref="I87:I93" si="9">SUM(E87:H87)</f>
        <v>0</v>
      </c>
    </row>
    <row r="88" spans="1:9" ht="18.75" customHeight="1" x14ac:dyDescent="0.3">
      <c r="A88" s="957"/>
      <c r="B88" s="42"/>
      <c r="C88" s="955"/>
      <c r="D88" s="41"/>
      <c r="E88" s="684"/>
      <c r="F88" s="684"/>
      <c r="G88" s="37"/>
      <c r="H88" s="684"/>
      <c r="I88" s="1036">
        <f t="shared" si="9"/>
        <v>0</v>
      </c>
    </row>
    <row r="89" spans="1:9" ht="18.75" customHeight="1" x14ac:dyDescent="0.3">
      <c r="A89" s="957"/>
      <c r="B89" s="42"/>
      <c r="C89" s="955"/>
      <c r="D89" s="41"/>
      <c r="E89" s="684"/>
      <c r="F89" s="684"/>
      <c r="G89" s="37"/>
      <c r="H89" s="684"/>
      <c r="I89" s="1036">
        <f t="shared" si="9"/>
        <v>0</v>
      </c>
    </row>
    <row r="90" spans="1:9" ht="18.75" customHeight="1" x14ac:dyDescent="0.3">
      <c r="A90" s="1031"/>
      <c r="B90" s="1032"/>
      <c r="C90" s="1033"/>
      <c r="D90" s="1034"/>
      <c r="E90" s="916"/>
      <c r="F90" s="916"/>
      <c r="G90" s="888"/>
      <c r="H90" s="916"/>
      <c r="I90" s="1037">
        <f t="shared" si="9"/>
        <v>0</v>
      </c>
    </row>
    <row r="91" spans="1:9" ht="18.75" customHeight="1" x14ac:dyDescent="0.3">
      <c r="A91" s="742"/>
      <c r="B91" s="482"/>
      <c r="C91" s="482"/>
      <c r="D91" s="149" t="s">
        <v>253</v>
      </c>
      <c r="E91" s="150">
        <f>SUM(E86:E90)</f>
        <v>0</v>
      </c>
      <c r="F91" s="150">
        <f>SUM(F86:F90)</f>
        <v>0</v>
      </c>
      <c r="G91" s="150">
        <f>SUM(G86:G90)</f>
        <v>0</v>
      </c>
      <c r="H91" s="150">
        <f>SUM(H86:H90)</f>
        <v>0</v>
      </c>
      <c r="I91" s="786">
        <f t="shared" si="9"/>
        <v>0</v>
      </c>
    </row>
    <row r="92" spans="1:9" ht="18.75" customHeight="1" x14ac:dyDescent="0.3">
      <c r="A92" s="742"/>
      <c r="B92" s="482"/>
      <c r="C92" s="482"/>
      <c r="D92" s="149" t="s">
        <v>254</v>
      </c>
      <c r="E92" s="150">
        <f>SUM(E84+E91)</f>
        <v>21631.66</v>
      </c>
      <c r="F92" s="150">
        <f>SUM(F84+F91)</f>
        <v>0</v>
      </c>
      <c r="G92" s="150">
        <f>SUM(G84+G91)</f>
        <v>74306</v>
      </c>
      <c r="H92" s="150">
        <f>SUM(H84+H91)</f>
        <v>5748</v>
      </c>
      <c r="I92" s="786">
        <f t="shared" si="9"/>
        <v>101685.66</v>
      </c>
    </row>
    <row r="93" spans="1:9" ht="18.75" customHeight="1" x14ac:dyDescent="0.3">
      <c r="A93" s="743"/>
      <c r="B93" s="484"/>
      <c r="C93" s="484"/>
      <c r="D93" s="152" t="s">
        <v>255</v>
      </c>
      <c r="E93" s="153">
        <f>SUM(E85-E91)</f>
        <v>-631.66000000000167</v>
      </c>
      <c r="F93" s="153">
        <f>SUM(F85-F91)</f>
        <v>926600</v>
      </c>
      <c r="G93" s="153">
        <f>SUM(G85-G91)</f>
        <v>110094</v>
      </c>
      <c r="H93" s="153">
        <f>SUM(H85-H91)</f>
        <v>10152</v>
      </c>
      <c r="I93" s="787">
        <f t="shared" si="9"/>
        <v>1046214.34</v>
      </c>
    </row>
    <row r="94" spans="1:9" ht="18.75" customHeight="1" x14ac:dyDescent="0.3">
      <c r="A94" s="1035" t="s">
        <v>256</v>
      </c>
      <c r="B94" s="42"/>
      <c r="C94" s="955"/>
      <c r="D94" s="41"/>
      <c r="E94" s="684"/>
      <c r="F94" s="684"/>
      <c r="G94" s="37"/>
      <c r="H94" s="684"/>
      <c r="I94" s="1036"/>
    </row>
    <row r="95" spans="1:9" ht="18.75" customHeight="1" x14ac:dyDescent="0.3">
      <c r="A95" s="957"/>
      <c r="B95" s="42"/>
      <c r="C95" s="955"/>
      <c r="D95" s="41"/>
      <c r="E95" s="684"/>
      <c r="F95" s="684"/>
      <c r="G95" s="37"/>
      <c r="H95" s="684"/>
      <c r="I95" s="1036">
        <f t="shared" ref="I95:I101" si="10">SUM(E95:H95)</f>
        <v>0</v>
      </c>
    </row>
    <row r="96" spans="1:9" ht="18.75" customHeight="1" x14ac:dyDescent="0.3">
      <c r="A96" s="957"/>
      <c r="B96" s="42"/>
      <c r="C96" s="955"/>
      <c r="D96" s="41"/>
      <c r="E96" s="684"/>
      <c r="F96" s="684"/>
      <c r="G96" s="37"/>
      <c r="H96" s="684"/>
      <c r="I96" s="1036">
        <f t="shared" si="10"/>
        <v>0</v>
      </c>
    </row>
    <row r="97" spans="1:9" ht="18.75" customHeight="1" x14ac:dyDescent="0.3">
      <c r="A97" s="957"/>
      <c r="B97" s="42"/>
      <c r="C97" s="955"/>
      <c r="D97" s="41"/>
      <c r="E97" s="684"/>
      <c r="F97" s="684"/>
      <c r="G97" s="37"/>
      <c r="H97" s="684"/>
      <c r="I97" s="1036">
        <f t="shared" si="10"/>
        <v>0</v>
      </c>
    </row>
    <row r="98" spans="1:9" ht="18.75" customHeight="1" x14ac:dyDescent="0.3">
      <c r="A98" s="1031"/>
      <c r="B98" s="1032"/>
      <c r="C98" s="1033"/>
      <c r="D98" s="1034"/>
      <c r="E98" s="916"/>
      <c r="F98" s="916"/>
      <c r="G98" s="888"/>
      <c r="H98" s="916"/>
      <c r="I98" s="1037">
        <f t="shared" si="10"/>
        <v>0</v>
      </c>
    </row>
    <row r="99" spans="1:9" ht="18.75" customHeight="1" x14ac:dyDescent="0.3">
      <c r="A99" s="742"/>
      <c r="B99" s="482"/>
      <c r="C99" s="482"/>
      <c r="D99" s="149" t="s">
        <v>257</v>
      </c>
      <c r="E99" s="150">
        <f>SUM(E94:E98)</f>
        <v>0</v>
      </c>
      <c r="F99" s="150">
        <f>SUM(F94:F98)</f>
        <v>0</v>
      </c>
      <c r="G99" s="150">
        <f>SUM(G94:G98)</f>
        <v>0</v>
      </c>
      <c r="H99" s="150">
        <f>SUM(H94:H98)</f>
        <v>0</v>
      </c>
      <c r="I99" s="786">
        <f t="shared" si="10"/>
        <v>0</v>
      </c>
    </row>
    <row r="100" spans="1:9" ht="18.75" customHeight="1" x14ac:dyDescent="0.3">
      <c r="A100" s="742"/>
      <c r="B100" s="482"/>
      <c r="C100" s="482"/>
      <c r="D100" s="149" t="s">
        <v>258</v>
      </c>
      <c r="E100" s="150">
        <f>SUM(E92+E99)</f>
        <v>21631.66</v>
      </c>
      <c r="F100" s="150">
        <f>SUM(F92+F99)</f>
        <v>0</v>
      </c>
      <c r="G100" s="150">
        <f>SUM(G92+G99)</f>
        <v>74306</v>
      </c>
      <c r="H100" s="150">
        <f>SUM(H92+H99)</f>
        <v>5748</v>
      </c>
      <c r="I100" s="786">
        <f t="shared" si="10"/>
        <v>101685.66</v>
      </c>
    </row>
    <row r="101" spans="1:9" ht="18.75" customHeight="1" x14ac:dyDescent="0.3">
      <c r="A101" s="743"/>
      <c r="B101" s="484"/>
      <c r="C101" s="484"/>
      <c r="D101" s="152" t="s">
        <v>259</v>
      </c>
      <c r="E101" s="153">
        <f>SUM(E93-E99)</f>
        <v>-631.66000000000167</v>
      </c>
      <c r="F101" s="153">
        <f>SUM(F93-F99)</f>
        <v>926600</v>
      </c>
      <c r="G101" s="153">
        <f>SUM(G93-G99)</f>
        <v>110094</v>
      </c>
      <c r="H101" s="153">
        <f>SUM(H93-H99)</f>
        <v>10152</v>
      </c>
      <c r="I101" s="787">
        <f t="shared" si="10"/>
        <v>1046214.34</v>
      </c>
    </row>
  </sheetData>
  <autoFilter ref="A2:I2" xr:uid="{00000000-0009-0000-0000-000005000000}"/>
  <mergeCells count="2">
    <mergeCell ref="E1:F1"/>
    <mergeCell ref="G1:H1"/>
  </mergeCells>
  <conditionalFormatting sqref="F24:F26">
    <cfRule type="cellIs" dxfId="681" priority="18" stopIfTrue="1" operator="lessThan">
      <formula>0</formula>
    </cfRule>
  </conditionalFormatting>
  <conditionalFormatting sqref="E23:H37">
    <cfRule type="cellIs" dxfId="680" priority="16" stopIfTrue="1" operator="lessThan">
      <formula>0</formula>
    </cfRule>
  </conditionalFormatting>
  <conditionalFormatting sqref="E39:H45">
    <cfRule type="cellIs" dxfId="679" priority="14" stopIfTrue="1" operator="lessThan">
      <formula>0</formula>
    </cfRule>
  </conditionalFormatting>
  <conditionalFormatting sqref="E47:H53">
    <cfRule type="cellIs" dxfId="678" priority="12" stopIfTrue="1" operator="lessThan">
      <formula>0</formula>
    </cfRule>
  </conditionalFormatting>
  <conditionalFormatting sqref="E55:H61">
    <cfRule type="cellIs" dxfId="677" priority="10" stopIfTrue="1" operator="lessThan">
      <formula>0</formula>
    </cfRule>
  </conditionalFormatting>
  <conditionalFormatting sqref="E63:H69">
    <cfRule type="cellIs" dxfId="676" priority="8" stopIfTrue="1" operator="lessThan">
      <formula>0</formula>
    </cfRule>
  </conditionalFormatting>
  <conditionalFormatting sqref="E1 G1 E2:H14 E22 G22:H22 E38 G38:H38 E46 G46:H46 E54 G54:H54 E62 G62:H62 E70 G70:H70 E78 G78:H78 E102:E968 G102:H968">
    <cfRule type="cellIs" dxfId="675" priority="23" stopIfTrue="1" operator="lessThan">
      <formula>0</formula>
    </cfRule>
  </conditionalFormatting>
  <conditionalFormatting sqref="E15:H21">
    <cfRule type="cellIs" dxfId="674" priority="19" stopIfTrue="1" operator="lessThan">
      <formula>0</formula>
    </cfRule>
  </conditionalFormatting>
  <conditionalFormatting sqref="F32:F38">
    <cfRule type="cellIs" dxfId="673" priority="17" stopIfTrue="1" operator="lessThan">
      <formula>0</formula>
    </cfRule>
  </conditionalFormatting>
  <conditionalFormatting sqref="F40:F46">
    <cfRule type="cellIs" dxfId="672" priority="15" stopIfTrue="1" operator="lessThan">
      <formula>0</formula>
    </cfRule>
  </conditionalFormatting>
  <conditionalFormatting sqref="F48:F54">
    <cfRule type="cellIs" dxfId="671" priority="13" stopIfTrue="1" operator="lessThan">
      <formula>0</formula>
    </cfRule>
  </conditionalFormatting>
  <conditionalFormatting sqref="F56:F62">
    <cfRule type="cellIs" dxfId="670" priority="11" stopIfTrue="1" operator="lessThan">
      <formula>0</formula>
    </cfRule>
  </conditionalFormatting>
  <conditionalFormatting sqref="F64:F70">
    <cfRule type="cellIs" dxfId="669" priority="9" stopIfTrue="1" operator="lessThan">
      <formula>0</formula>
    </cfRule>
  </conditionalFormatting>
  <conditionalFormatting sqref="F72:F78">
    <cfRule type="cellIs" dxfId="668" priority="7" stopIfTrue="1" operator="lessThan">
      <formula>0</formula>
    </cfRule>
  </conditionalFormatting>
  <conditionalFormatting sqref="F80:F82">
    <cfRule type="cellIs" dxfId="667" priority="5" stopIfTrue="1" operator="lessThan">
      <formula>0</formula>
    </cfRule>
  </conditionalFormatting>
  <conditionalFormatting sqref="F96:F968">
    <cfRule type="cellIs" dxfId="666" priority="3" stopIfTrue="1" operator="lessThan">
      <formula>0</formula>
    </cfRule>
  </conditionalFormatting>
  <conditionalFormatting sqref="I1:I968 E79:H101">
    <cfRule type="cellIs" dxfId="665" priority="2" stopIfTrue="1" operator="lessThan">
      <formula>0</formula>
    </cfRule>
  </conditionalFormatting>
  <conditionalFormatting sqref="A7">
    <cfRule type="cellIs" dxfId="664" priority="1" stopIfTrue="1" operator="lessThan">
      <formula>0</formula>
    </cfRule>
  </conditionalFormatting>
  <conditionalFormatting sqref="D4">
    <cfRule type="cellIs" dxfId="663" priority="21" stopIfTrue="1" operator="lessThan">
      <formula>0</formula>
    </cfRule>
    <cfRule type="cellIs" dxfId="662" priority="22" operator="lessThan">
      <formula>0</formula>
    </cfRule>
  </conditionalFormatting>
  <conditionalFormatting sqref="E71:H77">
    <cfRule type="cellIs" dxfId="661" priority="6" stopIfTrue="1" operator="lessThan">
      <formula>0</formula>
    </cfRule>
  </conditionalFormatting>
  <conditionalFormatting sqref="F16:F22">
    <cfRule type="cellIs" dxfId="660" priority="20" stopIfTrue="1" operator="lessThan">
      <formula>0</formula>
    </cfRule>
  </conditionalFormatting>
  <conditionalFormatting sqref="F88:F90">
    <cfRule type="cellIs" dxfId="659" priority="4" stopIfTrue="1" operator="lessThan">
      <formula>0</formula>
    </cfRule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CC99"/>
    <pageSetUpPr fitToPage="1"/>
  </sheetPr>
  <dimension ref="A1:O191"/>
  <sheetViews>
    <sheetView zoomScale="115" zoomScaleNormal="115" workbookViewId="0">
      <pane ySplit="2" topLeftCell="A60" activePane="bottomLeft" state="frozen"/>
      <selection pane="bottomLeft" activeCell="D73" sqref="D73"/>
    </sheetView>
  </sheetViews>
  <sheetFormatPr defaultColWidth="14.42578125" defaultRowHeight="15" customHeight="1" x14ac:dyDescent="0.3"/>
  <cols>
    <col min="1" max="1" width="12.5703125" style="714" customWidth="1"/>
    <col min="2" max="2" width="15.28515625" style="137" bestFit="1" customWidth="1"/>
    <col min="3" max="3" width="12.5703125" style="137" customWidth="1"/>
    <col min="4" max="4" width="79" style="137" customWidth="1"/>
    <col min="5" max="8" width="16.85546875" style="137" customWidth="1"/>
    <col min="9" max="9" width="16.85546875" style="721" customWidth="1"/>
    <col min="10" max="10" width="14.140625" style="792" customWidth="1"/>
    <col min="11" max="11" width="17.85546875" style="668" customWidth="1"/>
    <col min="12" max="12" width="16.85546875" style="668" customWidth="1"/>
    <col min="13" max="13" width="16.85546875" style="766" customWidth="1"/>
    <col min="14" max="14" width="16.85546875" style="770" customWidth="1"/>
    <col min="15" max="15" width="38.42578125" style="668" customWidth="1"/>
    <col min="16" max="16384" width="14.42578125" style="137"/>
  </cols>
  <sheetData>
    <row r="1" spans="1:15" ht="18.75" customHeight="1" x14ac:dyDescent="0.3">
      <c r="A1" s="1038"/>
      <c r="B1" s="1039"/>
      <c r="C1" s="1039"/>
      <c r="D1" s="747" t="s">
        <v>1209</v>
      </c>
      <c r="E1" s="1039"/>
      <c r="F1" s="1039"/>
      <c r="G1" s="1039"/>
      <c r="H1" s="1039"/>
      <c r="I1" s="1040"/>
      <c r="K1" s="760"/>
      <c r="L1" s="760"/>
      <c r="M1" s="761"/>
      <c r="N1" s="767"/>
      <c r="O1" s="760"/>
    </row>
    <row r="2" spans="1:15" s="759" customFormat="1" ht="56.25" x14ac:dyDescent="0.25">
      <c r="A2" s="749" t="s">
        <v>201</v>
      </c>
      <c r="B2" s="750" t="s">
        <v>202</v>
      </c>
      <c r="C2" s="750" t="s">
        <v>1198</v>
      </c>
      <c r="D2" s="750" t="s">
        <v>77</v>
      </c>
      <c r="E2" s="751" t="s">
        <v>270</v>
      </c>
      <c r="F2" s="752" t="s">
        <v>271</v>
      </c>
      <c r="G2" s="752" t="s">
        <v>1215</v>
      </c>
      <c r="H2" s="752" t="s">
        <v>272</v>
      </c>
      <c r="I2" s="789" t="s">
        <v>208</v>
      </c>
      <c r="J2" s="793" t="s">
        <v>273</v>
      </c>
      <c r="K2" s="757" t="s">
        <v>274</v>
      </c>
      <c r="L2" s="758" t="s">
        <v>275</v>
      </c>
      <c r="M2" s="762" t="s">
        <v>276</v>
      </c>
      <c r="N2" s="768" t="s">
        <v>86</v>
      </c>
      <c r="O2" s="758" t="s">
        <v>277</v>
      </c>
    </row>
    <row r="3" spans="1:15" s="184" customFormat="1" ht="18.75" customHeight="1" x14ac:dyDescent="0.3">
      <c r="A3" s="1041"/>
      <c r="B3" s="1042"/>
      <c r="C3" s="1043"/>
      <c r="D3" s="799" t="s">
        <v>209</v>
      </c>
      <c r="E3" s="807">
        <v>0</v>
      </c>
      <c r="F3" s="807">
        <v>0</v>
      </c>
      <c r="G3" s="807">
        <v>0</v>
      </c>
      <c r="H3" s="807">
        <v>0</v>
      </c>
      <c r="I3" s="755">
        <f>SUM(E3:H3)</f>
        <v>0</v>
      </c>
      <c r="J3" s="794"/>
      <c r="K3" s="666"/>
      <c r="L3" s="667">
        <f>SUM(L6:L188)</f>
        <v>241725</v>
      </c>
      <c r="M3" s="763">
        <f>SUM(M4:M188)</f>
        <v>0</v>
      </c>
      <c r="N3" s="769">
        <f>SUM(N4:N188)</f>
        <v>329820</v>
      </c>
      <c r="O3" s="667"/>
    </row>
    <row r="4" spans="1:15" s="184" customFormat="1" ht="18.75" customHeight="1" x14ac:dyDescent="0.3">
      <c r="A4" s="1044"/>
      <c r="B4" s="1045"/>
      <c r="C4" s="1046"/>
      <c r="D4" s="800" t="s">
        <v>1203</v>
      </c>
      <c r="E4" s="807">
        <v>165000</v>
      </c>
      <c r="F4" s="807">
        <v>265200</v>
      </c>
      <c r="G4" s="807">
        <v>242000</v>
      </c>
      <c r="H4" s="807">
        <v>1220400</v>
      </c>
      <c r="I4" s="755">
        <f>SUM(E4:H4)</f>
        <v>1892600</v>
      </c>
      <c r="J4" s="794"/>
      <c r="K4" s="666"/>
      <c r="L4" s="667"/>
      <c r="M4" s="764"/>
      <c r="N4" s="769"/>
      <c r="O4" s="667"/>
    </row>
    <row r="5" spans="1:15" s="184" customFormat="1" ht="18.75" customHeight="1" x14ac:dyDescent="0.3">
      <c r="A5" s="1047"/>
      <c r="B5" s="1045"/>
      <c r="C5" s="1048"/>
      <c r="D5" s="815" t="s">
        <v>211</v>
      </c>
      <c r="E5" s="807"/>
      <c r="F5" s="1049"/>
      <c r="G5" s="807"/>
      <c r="H5" s="807"/>
      <c r="I5" s="805"/>
      <c r="J5" s="797"/>
      <c r="K5" s="666"/>
      <c r="L5" s="667"/>
      <c r="M5" s="764"/>
      <c r="N5" s="769"/>
      <c r="O5" s="667"/>
    </row>
    <row r="6" spans="1:15" ht="18.75" customHeight="1" x14ac:dyDescent="0.3">
      <c r="A6" s="1050" t="s">
        <v>212</v>
      </c>
      <c r="B6" s="514"/>
      <c r="C6" s="1051"/>
      <c r="D6" s="515"/>
      <c r="E6" s="1052"/>
      <c r="F6" s="516"/>
      <c r="G6" s="1052"/>
      <c r="H6" s="517"/>
      <c r="I6" s="1030"/>
      <c r="J6" s="771"/>
      <c r="K6" s="666"/>
      <c r="L6" s="667"/>
      <c r="M6" s="764"/>
      <c r="N6" s="769"/>
      <c r="O6" s="666"/>
    </row>
    <row r="7" spans="1:15" ht="37.5" x14ac:dyDescent="0.3">
      <c r="A7" s="1053">
        <v>45538</v>
      </c>
      <c r="B7" s="1054" t="s">
        <v>1280</v>
      </c>
      <c r="C7" s="955" t="s">
        <v>1281</v>
      </c>
      <c r="D7" s="34" t="s">
        <v>1279</v>
      </c>
      <c r="E7" s="684">
        <v>11250</v>
      </c>
      <c r="F7" s="37"/>
      <c r="G7" s="684"/>
      <c r="H7" s="1055"/>
      <c r="I7" s="1030">
        <f>SUM(E7:H7)</f>
        <v>11250</v>
      </c>
      <c r="J7" s="771">
        <v>45593</v>
      </c>
      <c r="K7" s="666" t="s">
        <v>1278</v>
      </c>
      <c r="L7" s="667">
        <v>10250</v>
      </c>
      <c r="M7" s="764"/>
      <c r="N7" s="769">
        <f>I7-L7-M7</f>
        <v>1000</v>
      </c>
      <c r="O7" s="666"/>
    </row>
    <row r="8" spans="1:15" ht="18.75" customHeight="1" x14ac:dyDescent="0.3">
      <c r="A8" s="1053">
        <v>45566</v>
      </c>
      <c r="B8" s="1054" t="s">
        <v>1304</v>
      </c>
      <c r="C8" s="1056" t="s">
        <v>1307</v>
      </c>
      <c r="D8" s="775" t="s">
        <v>1306</v>
      </c>
      <c r="E8" s="1057"/>
      <c r="F8" s="43"/>
      <c r="G8" s="1058">
        <v>35000</v>
      </c>
      <c r="H8" s="1059"/>
      <c r="I8" s="1030">
        <f t="shared" ref="I8:I17" si="0">SUM(E8:H8)</f>
        <v>35000</v>
      </c>
      <c r="J8" s="771">
        <v>45604</v>
      </c>
      <c r="K8" s="666" t="s">
        <v>1485</v>
      </c>
      <c r="L8" s="667">
        <v>29980</v>
      </c>
      <c r="M8" s="764"/>
      <c r="N8" s="769">
        <f t="shared" ref="N8:N16" si="1">I8-L8-M8</f>
        <v>5020</v>
      </c>
      <c r="O8" s="666"/>
    </row>
    <row r="9" spans="1:15" ht="56.25" x14ac:dyDescent="0.3">
      <c r="A9" s="1053">
        <v>45568</v>
      </c>
      <c r="B9" s="1054" t="s">
        <v>1310</v>
      </c>
      <c r="C9" s="955" t="s">
        <v>1309</v>
      </c>
      <c r="D9" s="34" t="s">
        <v>1308</v>
      </c>
      <c r="E9" s="684"/>
      <c r="F9" s="37"/>
      <c r="G9" s="684">
        <v>23500</v>
      </c>
      <c r="H9" s="1055"/>
      <c r="I9" s="1030">
        <f t="shared" si="0"/>
        <v>23500</v>
      </c>
      <c r="J9" s="1143" t="s">
        <v>1486</v>
      </c>
      <c r="K9" s="1060" t="s">
        <v>1487</v>
      </c>
      <c r="L9" s="667">
        <v>22300</v>
      </c>
      <c r="M9" s="764"/>
      <c r="N9" s="769">
        <f t="shared" si="1"/>
        <v>1200</v>
      </c>
      <c r="O9" s="666"/>
    </row>
    <row r="10" spans="1:15" ht="18.75" x14ac:dyDescent="0.3">
      <c r="A10" s="1053">
        <v>45586</v>
      </c>
      <c r="B10" s="1054" t="s">
        <v>1357</v>
      </c>
      <c r="C10" s="955" t="s">
        <v>1355</v>
      </c>
      <c r="D10" s="34" t="s">
        <v>1356</v>
      </c>
      <c r="E10" s="684"/>
      <c r="F10" s="37"/>
      <c r="G10" s="684">
        <v>8000</v>
      </c>
      <c r="H10" s="1055"/>
      <c r="I10" s="1030">
        <f t="shared" si="0"/>
        <v>8000</v>
      </c>
      <c r="J10" s="1144">
        <v>45608</v>
      </c>
      <c r="K10" s="772" t="s">
        <v>1488</v>
      </c>
      <c r="L10" s="667">
        <v>3800</v>
      </c>
      <c r="M10" s="764"/>
      <c r="N10" s="769">
        <f t="shared" si="1"/>
        <v>4200</v>
      </c>
      <c r="O10" s="666"/>
    </row>
    <row r="11" spans="1:15" ht="18.75" customHeight="1" x14ac:dyDescent="0.3">
      <c r="A11" s="957"/>
      <c r="B11" s="2"/>
      <c r="C11" s="955"/>
      <c r="D11" s="934"/>
      <c r="E11" s="684"/>
      <c r="F11" s="37"/>
      <c r="G11" s="684"/>
      <c r="H11" s="1055"/>
      <c r="I11" s="1030">
        <f t="shared" si="0"/>
        <v>0</v>
      </c>
      <c r="J11" s="1144"/>
      <c r="K11" s="667"/>
      <c r="L11" s="667"/>
      <c r="M11" s="773"/>
      <c r="N11" s="769">
        <f t="shared" si="1"/>
        <v>0</v>
      </c>
      <c r="O11" s="666"/>
    </row>
    <row r="12" spans="1:15" ht="18.75" customHeight="1" x14ac:dyDescent="0.3">
      <c r="A12" s="957"/>
      <c r="B12" s="2"/>
      <c r="C12" s="955"/>
      <c r="D12" s="934"/>
      <c r="E12" s="684"/>
      <c r="F12" s="37"/>
      <c r="G12" s="684"/>
      <c r="H12" s="1055"/>
      <c r="I12" s="1030">
        <f t="shared" si="0"/>
        <v>0</v>
      </c>
      <c r="J12" s="1144"/>
      <c r="K12" s="774"/>
      <c r="L12" s="667"/>
      <c r="M12" s="764"/>
      <c r="N12" s="769">
        <f t="shared" si="1"/>
        <v>0</v>
      </c>
      <c r="O12" s="666"/>
    </row>
    <row r="13" spans="1:15" ht="18.75" customHeight="1" x14ac:dyDescent="0.3">
      <c r="A13" s="957"/>
      <c r="B13" s="2"/>
      <c r="C13" s="955"/>
      <c r="D13" s="934"/>
      <c r="E13" s="684"/>
      <c r="F13" s="37"/>
      <c r="G13" s="684"/>
      <c r="H13" s="1055"/>
      <c r="I13" s="1030">
        <f t="shared" si="0"/>
        <v>0</v>
      </c>
      <c r="J13" s="1144"/>
      <c r="K13" s="774"/>
      <c r="L13" s="667"/>
      <c r="M13" s="764"/>
      <c r="N13" s="769">
        <f t="shared" si="1"/>
        <v>0</v>
      </c>
      <c r="O13" s="666"/>
    </row>
    <row r="14" spans="1:15" ht="18.75" customHeight="1" x14ac:dyDescent="0.3">
      <c r="A14" s="957"/>
      <c r="B14" s="2"/>
      <c r="C14" s="955"/>
      <c r="D14" s="934"/>
      <c r="E14" s="684"/>
      <c r="F14" s="37"/>
      <c r="G14" s="684"/>
      <c r="H14" s="1055"/>
      <c r="I14" s="1030">
        <f t="shared" si="0"/>
        <v>0</v>
      </c>
      <c r="J14" s="1144"/>
      <c r="K14" s="666"/>
      <c r="L14" s="667"/>
      <c r="M14" s="764"/>
      <c r="N14" s="769">
        <f t="shared" si="1"/>
        <v>0</v>
      </c>
      <c r="O14" s="666"/>
    </row>
    <row r="15" spans="1:15" ht="18.75" customHeight="1" x14ac:dyDescent="0.3">
      <c r="A15" s="1061"/>
      <c r="B15" s="1062"/>
      <c r="C15" s="955"/>
      <c r="D15" s="936"/>
      <c r="E15" s="684"/>
      <c r="F15" s="684"/>
      <c r="G15" s="43"/>
      <c r="H15" s="1059"/>
      <c r="I15" s="1030">
        <f t="shared" si="0"/>
        <v>0</v>
      </c>
      <c r="J15" s="1144"/>
      <c r="K15" s="775"/>
      <c r="L15" s="667"/>
      <c r="M15" s="764"/>
      <c r="N15" s="769">
        <f t="shared" si="1"/>
        <v>0</v>
      </c>
      <c r="O15" s="666"/>
    </row>
    <row r="16" spans="1:15" ht="18.75" customHeight="1" x14ac:dyDescent="0.3">
      <c r="A16" s="957"/>
      <c r="B16" s="2"/>
      <c r="C16" s="955"/>
      <c r="D16" s="935"/>
      <c r="E16" s="684"/>
      <c r="F16" s="37"/>
      <c r="G16" s="684"/>
      <c r="H16" s="1055"/>
      <c r="I16" s="1030">
        <f t="shared" si="0"/>
        <v>0</v>
      </c>
      <c r="J16" s="1144"/>
      <c r="K16" s="775"/>
      <c r="L16" s="667"/>
      <c r="M16" s="764"/>
      <c r="N16" s="769">
        <f t="shared" si="1"/>
        <v>0</v>
      </c>
      <c r="O16" s="666"/>
    </row>
    <row r="17" spans="1:15" ht="18.75" customHeight="1" x14ac:dyDescent="0.3">
      <c r="A17" s="1031"/>
      <c r="B17" s="1063"/>
      <c r="C17" s="1033"/>
      <c r="D17" s="1064"/>
      <c r="E17" s="916"/>
      <c r="F17" s="888"/>
      <c r="G17" s="916"/>
      <c r="H17" s="1065"/>
      <c r="I17" s="790">
        <f t="shared" si="0"/>
        <v>0</v>
      </c>
      <c r="J17" s="1144"/>
      <c r="K17" s="775"/>
      <c r="L17" s="667"/>
      <c r="M17" s="764"/>
      <c r="N17" s="769">
        <f>I17-L17-M17</f>
        <v>0</v>
      </c>
      <c r="O17" s="666"/>
    </row>
    <row r="18" spans="1:15" ht="18.75" customHeight="1" x14ac:dyDescent="0.3">
      <c r="A18" s="740"/>
      <c r="B18" s="519"/>
      <c r="C18" s="210"/>
      <c r="D18" s="944" t="s">
        <v>261</v>
      </c>
      <c r="E18" s="466">
        <f>SUM(E6:E17)</f>
        <v>11250</v>
      </c>
      <c r="F18" s="466">
        <f t="shared" ref="F18:H18" si="2">SUM(F6:F17)</f>
        <v>0</v>
      </c>
      <c r="G18" s="466">
        <f t="shared" si="2"/>
        <v>66500</v>
      </c>
      <c r="H18" s="466">
        <f t="shared" si="2"/>
        <v>0</v>
      </c>
      <c r="I18" s="784">
        <f>SUM(E18:H18)</f>
        <v>77750</v>
      </c>
      <c r="J18" s="1145"/>
      <c r="K18" s="666"/>
      <c r="L18" s="667"/>
      <c r="M18" s="764"/>
      <c r="N18" s="769"/>
      <c r="O18" s="667"/>
    </row>
    <row r="19" spans="1:15" ht="18.75" customHeight="1" x14ac:dyDescent="0.3">
      <c r="A19" s="740"/>
      <c r="B19" s="519"/>
      <c r="C19" s="210"/>
      <c r="D19" s="944" t="s">
        <v>214</v>
      </c>
      <c r="E19" s="466">
        <f>SUM(E3+E18)</f>
        <v>11250</v>
      </c>
      <c r="F19" s="466">
        <f t="shared" ref="F19:H19" si="3">SUM(F3+F18)</f>
        <v>0</v>
      </c>
      <c r="G19" s="466">
        <f t="shared" si="3"/>
        <v>66500</v>
      </c>
      <c r="H19" s="466">
        <f t="shared" si="3"/>
        <v>0</v>
      </c>
      <c r="I19" s="784">
        <f t="shared" ref="I19:I35" si="4">SUM(E19:H19)</f>
        <v>77750</v>
      </c>
      <c r="J19" s="1145"/>
      <c r="K19" s="666"/>
      <c r="L19" s="667"/>
      <c r="M19" s="764"/>
      <c r="N19" s="769"/>
      <c r="O19" s="667"/>
    </row>
    <row r="20" spans="1:15" ht="18.75" customHeight="1" x14ac:dyDescent="0.3">
      <c r="A20" s="741"/>
      <c r="B20" s="520"/>
      <c r="C20" s="479"/>
      <c r="D20" s="945" t="s">
        <v>215</v>
      </c>
      <c r="E20" s="472">
        <f>SUM(E4-E18)</f>
        <v>153750</v>
      </c>
      <c r="F20" s="472">
        <f t="shared" ref="F20:H20" si="5">SUM(F4-F18)</f>
        <v>265200</v>
      </c>
      <c r="G20" s="472">
        <f t="shared" si="5"/>
        <v>175500</v>
      </c>
      <c r="H20" s="472">
        <f t="shared" si="5"/>
        <v>1220400</v>
      </c>
      <c r="I20" s="785">
        <f t="shared" si="4"/>
        <v>1814850</v>
      </c>
      <c r="J20" s="1145"/>
      <c r="K20" s="666"/>
      <c r="L20" s="667"/>
      <c r="M20" s="764"/>
      <c r="N20" s="769"/>
      <c r="O20" s="667"/>
    </row>
    <row r="21" spans="1:15" ht="18.75" customHeight="1" x14ac:dyDescent="0.3">
      <c r="A21" s="1050" t="s">
        <v>216</v>
      </c>
      <c r="B21" s="514"/>
      <c r="C21" s="1051"/>
      <c r="D21" s="946"/>
      <c r="E21" s="1052"/>
      <c r="F21" s="516"/>
      <c r="G21" s="1052"/>
      <c r="H21" s="1052"/>
      <c r="I21" s="1066"/>
      <c r="J21" s="1144"/>
      <c r="K21" s="666"/>
      <c r="L21" s="667"/>
      <c r="M21" s="764"/>
      <c r="N21" s="769">
        <f t="shared" ref="N21" si="6">I21-L21-M21</f>
        <v>0</v>
      </c>
      <c r="O21" s="666"/>
    </row>
    <row r="22" spans="1:15" ht="18.75" customHeight="1" x14ac:dyDescent="0.3">
      <c r="A22" s="1053">
        <v>45597</v>
      </c>
      <c r="B22" s="27" t="s">
        <v>1489</v>
      </c>
      <c r="C22" s="955" t="s">
        <v>1490</v>
      </c>
      <c r="D22" s="41" t="s">
        <v>1491</v>
      </c>
      <c r="E22" s="684"/>
      <c r="F22" s="37"/>
      <c r="G22" s="684">
        <v>8960</v>
      </c>
      <c r="H22" s="1055"/>
      <c r="I22" s="1030">
        <f>SUM(E22:H22)</f>
        <v>8960</v>
      </c>
      <c r="J22" s="1144">
        <v>45652</v>
      </c>
      <c r="K22" s="666" t="s">
        <v>1626</v>
      </c>
      <c r="L22" s="667">
        <v>3370</v>
      </c>
      <c r="M22" s="764"/>
      <c r="N22" s="769">
        <f>I22-L22-M22</f>
        <v>5590</v>
      </c>
      <c r="O22" s="666"/>
    </row>
    <row r="23" spans="1:15" ht="37.5" x14ac:dyDescent="0.3">
      <c r="A23" s="1053">
        <v>45602</v>
      </c>
      <c r="B23" s="27" t="s">
        <v>1492</v>
      </c>
      <c r="C23" s="1056" t="s">
        <v>1309</v>
      </c>
      <c r="D23" s="1012" t="s">
        <v>1493</v>
      </c>
      <c r="E23" s="1058"/>
      <c r="F23" s="667"/>
      <c r="G23" s="1058">
        <v>23500</v>
      </c>
      <c r="H23" s="1067"/>
      <c r="I23" s="1030">
        <f t="shared" ref="I23:I32" si="7">SUM(E23:H23)</f>
        <v>23500</v>
      </c>
      <c r="J23" s="1146" t="s">
        <v>1627</v>
      </c>
      <c r="K23" s="775" t="s">
        <v>1628</v>
      </c>
      <c r="L23" s="667">
        <v>4100</v>
      </c>
      <c r="M23" s="764"/>
      <c r="N23" s="769">
        <f t="shared" ref="N23:N31" si="8">I23-L23-M23</f>
        <v>19400</v>
      </c>
      <c r="O23" s="667"/>
    </row>
    <row r="24" spans="1:15" ht="18.75" customHeight="1" x14ac:dyDescent="0.3">
      <c r="A24" s="1053">
        <v>45602</v>
      </c>
      <c r="B24" s="27" t="s">
        <v>1494</v>
      </c>
      <c r="C24" s="1056" t="s">
        <v>1307</v>
      </c>
      <c r="D24" s="775" t="s">
        <v>1495</v>
      </c>
      <c r="E24" s="1058"/>
      <c r="F24" s="667"/>
      <c r="G24" s="1058">
        <v>35000</v>
      </c>
      <c r="H24" s="1067"/>
      <c r="I24" s="1030">
        <f t="shared" si="7"/>
        <v>35000</v>
      </c>
      <c r="J24" s="771">
        <v>45635</v>
      </c>
      <c r="K24" s="667" t="s">
        <v>1629</v>
      </c>
      <c r="L24" s="667">
        <v>16740</v>
      </c>
      <c r="M24" s="764"/>
      <c r="N24" s="769">
        <f t="shared" si="8"/>
        <v>18260</v>
      </c>
      <c r="O24" s="667"/>
    </row>
    <row r="25" spans="1:15" ht="18.75" customHeight="1" x14ac:dyDescent="0.3">
      <c r="A25" s="1053">
        <v>45604</v>
      </c>
      <c r="B25" s="27" t="s">
        <v>1496</v>
      </c>
      <c r="C25" s="1056" t="s">
        <v>1390</v>
      </c>
      <c r="D25" s="775" t="s">
        <v>1497</v>
      </c>
      <c r="E25" s="1058"/>
      <c r="F25" s="667"/>
      <c r="G25" s="1058">
        <v>55200</v>
      </c>
      <c r="H25" s="1067"/>
      <c r="I25" s="1030">
        <f t="shared" si="7"/>
        <v>55200</v>
      </c>
      <c r="J25" s="771">
        <v>45652</v>
      </c>
      <c r="K25" s="772" t="s">
        <v>1632</v>
      </c>
      <c r="L25" s="667">
        <v>12680</v>
      </c>
      <c r="M25" s="764"/>
      <c r="N25" s="769">
        <f t="shared" si="8"/>
        <v>42520</v>
      </c>
      <c r="O25" s="666"/>
    </row>
    <row r="26" spans="1:15" ht="18.75" customHeight="1" x14ac:dyDescent="0.3">
      <c r="A26" s="1053">
        <v>45608</v>
      </c>
      <c r="B26" s="27" t="s">
        <v>1498</v>
      </c>
      <c r="C26" s="1056" t="s">
        <v>1499</v>
      </c>
      <c r="D26" s="775" t="s">
        <v>1500</v>
      </c>
      <c r="E26" s="1058"/>
      <c r="F26" s="667">
        <v>3000</v>
      </c>
      <c r="G26" s="1058"/>
      <c r="H26" s="1067"/>
      <c r="I26" s="1030">
        <f t="shared" si="7"/>
        <v>3000</v>
      </c>
      <c r="J26" s="771">
        <v>45615</v>
      </c>
      <c r="K26" s="667" t="s">
        <v>1501</v>
      </c>
      <c r="L26" s="667">
        <v>3000</v>
      </c>
      <c r="M26" s="773"/>
      <c r="N26" s="769">
        <f t="shared" si="8"/>
        <v>0</v>
      </c>
      <c r="O26" s="666"/>
    </row>
    <row r="27" spans="1:15" ht="18.75" customHeight="1" x14ac:dyDescent="0.3">
      <c r="A27" s="1053">
        <v>45611</v>
      </c>
      <c r="B27" s="27" t="s">
        <v>1502</v>
      </c>
      <c r="C27" s="1056" t="s">
        <v>1503</v>
      </c>
      <c r="D27" s="775" t="s">
        <v>1504</v>
      </c>
      <c r="E27" s="1058">
        <v>14800</v>
      </c>
      <c r="F27" s="667"/>
      <c r="G27" s="1058"/>
      <c r="H27" s="1067"/>
      <c r="I27" s="1030">
        <f t="shared" si="7"/>
        <v>14800</v>
      </c>
      <c r="J27" s="771"/>
      <c r="K27" s="774"/>
      <c r="L27" s="667"/>
      <c r="M27" s="764"/>
      <c r="N27" s="769">
        <f t="shared" si="8"/>
        <v>14800</v>
      </c>
      <c r="O27" s="666"/>
    </row>
    <row r="28" spans="1:15" ht="18.75" customHeight="1" x14ac:dyDescent="0.3">
      <c r="A28" s="1053">
        <v>45617</v>
      </c>
      <c r="B28" s="27" t="s">
        <v>1505</v>
      </c>
      <c r="C28" s="1056" t="s">
        <v>1506</v>
      </c>
      <c r="D28" s="775" t="s">
        <v>1507</v>
      </c>
      <c r="E28" s="1058">
        <v>52600</v>
      </c>
      <c r="F28" s="667"/>
      <c r="G28" s="1058"/>
      <c r="H28" s="1067"/>
      <c r="I28" s="1030">
        <f t="shared" si="7"/>
        <v>52600</v>
      </c>
      <c r="J28" s="771">
        <v>45663</v>
      </c>
      <c r="K28" s="774" t="s">
        <v>1853</v>
      </c>
      <c r="L28" s="667">
        <v>52600</v>
      </c>
      <c r="M28" s="764"/>
      <c r="N28" s="769">
        <f t="shared" si="8"/>
        <v>0</v>
      </c>
      <c r="O28" s="666"/>
    </row>
    <row r="29" spans="1:15" ht="18.75" customHeight="1" x14ac:dyDescent="0.3">
      <c r="A29" s="1053">
        <v>45621</v>
      </c>
      <c r="B29" s="27" t="s">
        <v>1508</v>
      </c>
      <c r="C29" s="1056" t="s">
        <v>1499</v>
      </c>
      <c r="D29" s="775" t="s">
        <v>1509</v>
      </c>
      <c r="E29" s="1058"/>
      <c r="F29" s="667">
        <v>3000</v>
      </c>
      <c r="G29" s="1058"/>
      <c r="H29" s="1067"/>
      <c r="I29" s="1030">
        <f t="shared" si="7"/>
        <v>3000</v>
      </c>
      <c r="J29" s="771">
        <v>45628</v>
      </c>
      <c r="K29" s="666" t="s">
        <v>1642</v>
      </c>
      <c r="L29" s="667">
        <v>3000</v>
      </c>
      <c r="M29" s="764"/>
      <c r="N29" s="769">
        <f t="shared" si="8"/>
        <v>0</v>
      </c>
      <c r="O29" s="666"/>
    </row>
    <row r="30" spans="1:15" ht="18.75" customHeight="1" x14ac:dyDescent="0.3">
      <c r="A30" s="1053">
        <v>45624</v>
      </c>
      <c r="B30" s="27" t="s">
        <v>1510</v>
      </c>
      <c r="C30" s="1056" t="s">
        <v>1511</v>
      </c>
      <c r="D30" s="666" t="s">
        <v>1512</v>
      </c>
      <c r="E30" s="1058">
        <v>10000</v>
      </c>
      <c r="F30" s="1058"/>
      <c r="G30" s="667"/>
      <c r="H30" s="1067"/>
      <c r="I30" s="1030">
        <f t="shared" si="7"/>
        <v>10000</v>
      </c>
      <c r="J30" s="771">
        <v>45672</v>
      </c>
      <c r="K30" s="775" t="s">
        <v>1858</v>
      </c>
      <c r="L30" s="667">
        <v>10000</v>
      </c>
      <c r="M30" s="764"/>
      <c r="N30" s="769">
        <f t="shared" si="8"/>
        <v>0</v>
      </c>
      <c r="O30" s="666"/>
    </row>
    <row r="31" spans="1:15" ht="18.75" customHeight="1" x14ac:dyDescent="0.3">
      <c r="A31" s="1053">
        <v>45625</v>
      </c>
      <c r="B31" s="27" t="s">
        <v>1513</v>
      </c>
      <c r="C31" s="1056" t="s">
        <v>1514</v>
      </c>
      <c r="D31" s="666" t="s">
        <v>1515</v>
      </c>
      <c r="E31" s="1058"/>
      <c r="F31" s="667"/>
      <c r="G31" s="1058">
        <v>10200</v>
      </c>
      <c r="H31" s="1067"/>
      <c r="I31" s="1030">
        <f t="shared" si="7"/>
        <v>10200</v>
      </c>
      <c r="J31" s="771">
        <v>45652</v>
      </c>
      <c r="K31" s="775" t="s">
        <v>1645</v>
      </c>
      <c r="L31" s="667">
        <v>5850</v>
      </c>
      <c r="M31" s="764"/>
      <c r="N31" s="769">
        <f t="shared" si="8"/>
        <v>4350</v>
      </c>
      <c r="O31" s="666"/>
    </row>
    <row r="32" spans="1:15" ht="18.75" customHeight="1" x14ac:dyDescent="0.3">
      <c r="A32" s="1031"/>
      <c r="B32" s="1063"/>
      <c r="C32" s="1033"/>
      <c r="D32" s="1064"/>
      <c r="E32" s="916"/>
      <c r="F32" s="888"/>
      <c r="G32" s="916"/>
      <c r="H32" s="1065"/>
      <c r="I32" s="790">
        <f t="shared" si="7"/>
        <v>0</v>
      </c>
      <c r="J32" s="771"/>
      <c r="K32" s="775"/>
      <c r="L32" s="667"/>
      <c r="M32" s="764"/>
      <c r="N32" s="769">
        <f>I32-L32-M32</f>
        <v>0</v>
      </c>
      <c r="O32" s="666"/>
    </row>
    <row r="33" spans="1:15" ht="18.75" customHeight="1" x14ac:dyDescent="0.3">
      <c r="A33" s="742"/>
      <c r="B33" s="519"/>
      <c r="C33" s="482"/>
      <c r="D33" s="947" t="s">
        <v>217</v>
      </c>
      <c r="E33" s="150">
        <f>SUM(E21:E32)</f>
        <v>77400</v>
      </c>
      <c r="F33" s="150">
        <f>SUM(F21:F32)</f>
        <v>6000</v>
      </c>
      <c r="G33" s="150">
        <f>SUM(G21:G32)</f>
        <v>132860</v>
      </c>
      <c r="H33" s="150">
        <f>SUM(H21:H32)</f>
        <v>0</v>
      </c>
      <c r="I33" s="791">
        <f t="shared" si="4"/>
        <v>216260</v>
      </c>
      <c r="J33" s="798"/>
      <c r="K33" s="666"/>
      <c r="L33" s="667"/>
      <c r="M33" s="764"/>
      <c r="N33" s="769"/>
      <c r="O33" s="667"/>
    </row>
    <row r="34" spans="1:15" ht="18.75" customHeight="1" x14ac:dyDescent="0.3">
      <c r="A34" s="742"/>
      <c r="B34" s="519"/>
      <c r="C34" s="482"/>
      <c r="D34" s="947" t="s">
        <v>218</v>
      </c>
      <c r="E34" s="150">
        <f>SUM(E19+E33)</f>
        <v>88650</v>
      </c>
      <c r="F34" s="150">
        <f>SUM(F19+F33)</f>
        <v>6000</v>
      </c>
      <c r="G34" s="150">
        <f>SUM(G19+G33)</f>
        <v>199360</v>
      </c>
      <c r="H34" s="150">
        <f>SUM(H19+H33)</f>
        <v>0</v>
      </c>
      <c r="I34" s="786">
        <f t="shared" si="4"/>
        <v>294010</v>
      </c>
      <c r="J34" s="798"/>
      <c r="K34" s="666"/>
      <c r="L34" s="667"/>
      <c r="M34" s="764"/>
      <c r="N34" s="769"/>
      <c r="O34" s="667"/>
    </row>
    <row r="35" spans="1:15" ht="18.75" customHeight="1" x14ac:dyDescent="0.3">
      <c r="A35" s="743"/>
      <c r="B35" s="520"/>
      <c r="C35" s="484"/>
      <c r="D35" s="948" t="s">
        <v>219</v>
      </c>
      <c r="E35" s="153">
        <f>SUM(E20-E33)</f>
        <v>76350</v>
      </c>
      <c r="F35" s="153">
        <f>SUM(F20-F33)</f>
        <v>259200</v>
      </c>
      <c r="G35" s="153">
        <f>SUM(G20-G33)</f>
        <v>42640</v>
      </c>
      <c r="H35" s="153">
        <f>SUM(H20-H33)</f>
        <v>1220400</v>
      </c>
      <c r="I35" s="786">
        <f t="shared" si="4"/>
        <v>1598590</v>
      </c>
      <c r="J35" s="798"/>
      <c r="K35" s="666"/>
      <c r="L35" s="667"/>
      <c r="M35" s="764"/>
      <c r="N35" s="769"/>
      <c r="O35" s="667"/>
    </row>
    <row r="36" spans="1:15" ht="18.75" customHeight="1" x14ac:dyDescent="0.3">
      <c r="A36" s="1050" t="s">
        <v>220</v>
      </c>
      <c r="B36" s="514"/>
      <c r="C36" s="1051"/>
      <c r="D36" s="946"/>
      <c r="E36" s="1052"/>
      <c r="F36" s="516"/>
      <c r="G36" s="1052"/>
      <c r="H36" s="517"/>
      <c r="I36" s="1068"/>
      <c r="J36" s="771"/>
      <c r="K36" s="666"/>
      <c r="L36" s="667"/>
      <c r="M36" s="764"/>
      <c r="N36" s="769">
        <f t="shared" ref="N36" si="9">I36-L36-M36</f>
        <v>0</v>
      </c>
      <c r="O36" s="666"/>
    </row>
    <row r="37" spans="1:15" ht="18.75" customHeight="1" x14ac:dyDescent="0.3">
      <c r="A37" s="1053">
        <v>45628</v>
      </c>
      <c r="B37" s="27" t="s">
        <v>1648</v>
      </c>
      <c r="C37" s="955" t="s">
        <v>1647</v>
      </c>
      <c r="D37" s="41" t="s">
        <v>1646</v>
      </c>
      <c r="E37" s="1058"/>
      <c r="F37" s="667"/>
      <c r="G37" s="1058">
        <v>8000</v>
      </c>
      <c r="H37" s="1067"/>
      <c r="I37" s="1030">
        <f>SUM(E37:H37)</f>
        <v>8000</v>
      </c>
      <c r="J37" s="771">
        <v>45637</v>
      </c>
      <c r="K37" s="666" t="s">
        <v>1649</v>
      </c>
      <c r="L37" s="667">
        <v>4100</v>
      </c>
      <c r="M37" s="764"/>
      <c r="N37" s="769">
        <f>I37-L37-M37</f>
        <v>3900</v>
      </c>
      <c r="O37" s="666"/>
    </row>
    <row r="38" spans="1:15" ht="18.75" x14ac:dyDescent="0.3">
      <c r="A38" s="1053">
        <v>45628</v>
      </c>
      <c r="B38" s="27" t="s">
        <v>1651</v>
      </c>
      <c r="C38" s="1056" t="s">
        <v>1309</v>
      </c>
      <c r="D38" s="775" t="s">
        <v>1650</v>
      </c>
      <c r="E38" s="1058"/>
      <c r="F38" s="667"/>
      <c r="G38" s="1058">
        <v>23500</v>
      </c>
      <c r="H38" s="1067"/>
      <c r="I38" s="1030">
        <f t="shared" ref="I38:I47" si="10">SUM(E38:H38)</f>
        <v>23500</v>
      </c>
      <c r="J38" s="771">
        <v>45672</v>
      </c>
      <c r="K38" s="666" t="s">
        <v>1862</v>
      </c>
      <c r="L38" s="667">
        <v>23500</v>
      </c>
      <c r="M38" s="764"/>
      <c r="N38" s="769">
        <f t="shared" ref="N38:N46" si="11">I38-L38-M38</f>
        <v>0</v>
      </c>
      <c r="O38" s="667"/>
    </row>
    <row r="39" spans="1:15" ht="37.5" x14ac:dyDescent="0.3">
      <c r="A39" s="1053">
        <v>45629</v>
      </c>
      <c r="B39" s="27" t="s">
        <v>1658</v>
      </c>
      <c r="C39" s="1056" t="s">
        <v>1307</v>
      </c>
      <c r="D39" s="775" t="s">
        <v>1657</v>
      </c>
      <c r="E39" s="1058"/>
      <c r="F39" s="667"/>
      <c r="G39" s="1058">
        <v>35000</v>
      </c>
      <c r="H39" s="1067"/>
      <c r="I39" s="1030">
        <f t="shared" si="10"/>
        <v>35000</v>
      </c>
      <c r="J39" s="1146" t="s">
        <v>1866</v>
      </c>
      <c r="K39" s="772" t="s">
        <v>1865</v>
      </c>
      <c r="L39" s="667">
        <f>18860+1140</f>
        <v>20000</v>
      </c>
      <c r="M39" s="764"/>
      <c r="N39" s="769">
        <f t="shared" si="11"/>
        <v>15000</v>
      </c>
      <c r="O39" s="667"/>
    </row>
    <row r="40" spans="1:15" ht="37.5" x14ac:dyDescent="0.3">
      <c r="A40" s="1053">
        <v>45637</v>
      </c>
      <c r="B40" s="42" t="s">
        <v>1684</v>
      </c>
      <c r="C40" s="1056" t="s">
        <v>1499</v>
      </c>
      <c r="D40" s="775" t="s">
        <v>1683</v>
      </c>
      <c r="E40" s="1058"/>
      <c r="F40" s="667">
        <v>3000</v>
      </c>
      <c r="G40" s="1058"/>
      <c r="H40" s="1067"/>
      <c r="I40" s="1030">
        <f t="shared" si="10"/>
        <v>3000</v>
      </c>
      <c r="J40" s="771">
        <v>46011</v>
      </c>
      <c r="K40" s="772" t="s">
        <v>1873</v>
      </c>
      <c r="L40" s="667">
        <v>3000</v>
      </c>
      <c r="M40" s="764"/>
      <c r="N40" s="769">
        <f t="shared" si="11"/>
        <v>0</v>
      </c>
      <c r="O40" s="666"/>
    </row>
    <row r="41" spans="1:15" ht="18.75" customHeight="1" x14ac:dyDescent="0.3">
      <c r="A41" s="1053">
        <v>45637</v>
      </c>
      <c r="B41" s="42" t="s">
        <v>1691</v>
      </c>
      <c r="C41" s="1056" t="s">
        <v>1689</v>
      </c>
      <c r="D41" s="775" t="s">
        <v>1690</v>
      </c>
      <c r="E41" s="1058"/>
      <c r="F41" s="667"/>
      <c r="G41" s="1058">
        <v>7320</v>
      </c>
      <c r="H41" s="1067"/>
      <c r="I41" s="1030">
        <f t="shared" si="10"/>
        <v>7320</v>
      </c>
      <c r="J41" s="771">
        <v>45684</v>
      </c>
      <c r="K41" s="667" t="s">
        <v>1875</v>
      </c>
      <c r="L41" s="667">
        <v>1600</v>
      </c>
      <c r="M41" s="773"/>
      <c r="N41" s="769">
        <f t="shared" si="11"/>
        <v>5720</v>
      </c>
      <c r="O41" s="666"/>
    </row>
    <row r="42" spans="1:15" ht="18.75" customHeight="1" x14ac:dyDescent="0.3">
      <c r="A42" s="1053">
        <v>45644</v>
      </c>
      <c r="B42" s="42" t="s">
        <v>1722</v>
      </c>
      <c r="C42" s="1056" t="s">
        <v>1720</v>
      </c>
      <c r="D42" s="775" t="s">
        <v>1721</v>
      </c>
      <c r="E42" s="1058"/>
      <c r="F42" s="667"/>
      <c r="G42" s="1058">
        <v>4120</v>
      </c>
      <c r="H42" s="1067"/>
      <c r="I42" s="1030">
        <f t="shared" si="10"/>
        <v>4120</v>
      </c>
      <c r="J42" s="771"/>
      <c r="K42" s="774"/>
      <c r="L42" s="667"/>
      <c r="M42" s="764"/>
      <c r="N42" s="769">
        <f t="shared" si="11"/>
        <v>4120</v>
      </c>
      <c r="O42" s="666"/>
    </row>
    <row r="43" spans="1:15" ht="18.75" customHeight="1" x14ac:dyDescent="0.3">
      <c r="A43" s="1053">
        <v>45653</v>
      </c>
      <c r="B43" s="42" t="s">
        <v>1744</v>
      </c>
      <c r="C43" s="1056" t="s">
        <v>1503</v>
      </c>
      <c r="D43" s="775" t="s">
        <v>1743</v>
      </c>
      <c r="E43" s="1058">
        <v>11250</v>
      </c>
      <c r="F43" s="667"/>
      <c r="G43" s="1058"/>
      <c r="H43" s="1067"/>
      <c r="I43" s="1030">
        <f t="shared" si="10"/>
        <v>11250</v>
      </c>
      <c r="J43" s="771"/>
      <c r="K43" s="774"/>
      <c r="L43" s="667"/>
      <c r="M43" s="764"/>
      <c r="N43" s="769">
        <f t="shared" si="11"/>
        <v>11250</v>
      </c>
      <c r="O43" s="666"/>
    </row>
    <row r="44" spans="1:15" ht="18.75" customHeight="1" x14ac:dyDescent="0.3">
      <c r="A44" s="1053">
        <v>45653</v>
      </c>
      <c r="B44" s="42" t="s">
        <v>1753</v>
      </c>
      <c r="C44" s="1056" t="s">
        <v>1307</v>
      </c>
      <c r="D44" s="775" t="s">
        <v>1752</v>
      </c>
      <c r="E44" s="1058"/>
      <c r="F44" s="667"/>
      <c r="G44" s="1058">
        <v>34200</v>
      </c>
      <c r="H44" s="1067"/>
      <c r="I44" s="1030">
        <f t="shared" si="10"/>
        <v>34200</v>
      </c>
      <c r="J44" s="771"/>
      <c r="K44" s="666"/>
      <c r="L44" s="667"/>
      <c r="M44" s="764"/>
      <c r="N44" s="769">
        <f t="shared" si="11"/>
        <v>34200</v>
      </c>
      <c r="O44" s="666"/>
    </row>
    <row r="45" spans="1:15" ht="18.75" customHeight="1" x14ac:dyDescent="0.3">
      <c r="A45" s="1053"/>
      <c r="B45" s="42"/>
      <c r="C45" s="1056"/>
      <c r="D45" s="666"/>
      <c r="E45" s="1058"/>
      <c r="F45" s="1058"/>
      <c r="G45" s="667"/>
      <c r="H45" s="1067"/>
      <c r="I45" s="1030">
        <f t="shared" si="10"/>
        <v>0</v>
      </c>
      <c r="J45" s="771"/>
      <c r="K45" s="775"/>
      <c r="L45" s="667"/>
      <c r="M45" s="764"/>
      <c r="N45" s="769">
        <f t="shared" si="11"/>
        <v>0</v>
      </c>
      <c r="O45" s="666"/>
    </row>
    <row r="46" spans="1:15" ht="18.75" customHeight="1" x14ac:dyDescent="0.3">
      <c r="A46" s="1053"/>
      <c r="B46" s="42"/>
      <c r="C46" s="1056"/>
      <c r="D46" s="666"/>
      <c r="E46" s="1058"/>
      <c r="F46" s="667"/>
      <c r="G46" s="1058"/>
      <c r="H46" s="1067"/>
      <c r="I46" s="1030">
        <f t="shared" si="10"/>
        <v>0</v>
      </c>
      <c r="J46" s="771"/>
      <c r="K46" s="775"/>
      <c r="L46" s="667"/>
      <c r="M46" s="764"/>
      <c r="N46" s="769">
        <f t="shared" si="11"/>
        <v>0</v>
      </c>
      <c r="O46" s="666"/>
    </row>
    <row r="47" spans="1:15" ht="18.75" customHeight="1" x14ac:dyDescent="0.3">
      <c r="A47" s="1031"/>
      <c r="B47" s="1063"/>
      <c r="C47" s="1033"/>
      <c r="D47" s="1064"/>
      <c r="E47" s="1168"/>
      <c r="F47" s="1169"/>
      <c r="G47" s="1168"/>
      <c r="H47" s="1170"/>
      <c r="I47" s="790">
        <f t="shared" si="10"/>
        <v>0</v>
      </c>
      <c r="J47" s="771"/>
      <c r="K47" s="775"/>
      <c r="L47" s="667"/>
      <c r="M47" s="764"/>
      <c r="N47" s="769">
        <f>I47-L47-M47</f>
        <v>0</v>
      </c>
      <c r="O47" s="666"/>
    </row>
    <row r="48" spans="1:15" ht="18.75" customHeight="1" x14ac:dyDescent="0.3">
      <c r="A48" s="742"/>
      <c r="B48" s="519"/>
      <c r="C48" s="482"/>
      <c r="D48" s="149" t="s">
        <v>221</v>
      </c>
      <c r="E48" s="150">
        <f>SUM(E36:E47)</f>
        <v>11250</v>
      </c>
      <c r="F48" s="150">
        <f>SUM(F36:F47)</f>
        <v>3000</v>
      </c>
      <c r="G48" s="150">
        <f>SUM(G36:G47)</f>
        <v>112140</v>
      </c>
      <c r="H48" s="150">
        <f>SUM(H36:H47)</f>
        <v>0</v>
      </c>
      <c r="I48" s="791">
        <f t="shared" ref="I48:I131" si="12">SUM(E48:H48)</f>
        <v>126390</v>
      </c>
      <c r="J48" s="798"/>
      <c r="K48" s="666"/>
      <c r="L48" s="667"/>
      <c r="M48" s="764"/>
      <c r="N48" s="769"/>
      <c r="O48" s="667"/>
    </row>
    <row r="49" spans="1:15" ht="18.75" customHeight="1" x14ac:dyDescent="0.3">
      <c r="A49" s="742"/>
      <c r="B49" s="519"/>
      <c r="C49" s="482"/>
      <c r="D49" s="149" t="s">
        <v>222</v>
      </c>
      <c r="E49" s="150">
        <f>SUM(E34+E48)</f>
        <v>99900</v>
      </c>
      <c r="F49" s="150">
        <f>SUM(F34+F48)</f>
        <v>9000</v>
      </c>
      <c r="G49" s="150">
        <f>SUM(G34+G48)</f>
        <v>311500</v>
      </c>
      <c r="H49" s="150">
        <f>SUM(H34+H48)</f>
        <v>0</v>
      </c>
      <c r="I49" s="786">
        <f t="shared" si="12"/>
        <v>420400</v>
      </c>
      <c r="J49" s="798"/>
      <c r="K49" s="666"/>
      <c r="L49" s="667"/>
      <c r="M49" s="764"/>
      <c r="N49" s="769"/>
      <c r="O49" s="667"/>
    </row>
    <row r="50" spans="1:15" ht="18.75" customHeight="1" x14ac:dyDescent="0.3">
      <c r="A50" s="743"/>
      <c r="B50" s="520"/>
      <c r="C50" s="484"/>
      <c r="D50" s="152" t="s">
        <v>223</v>
      </c>
      <c r="E50" s="153">
        <f>SUM(E35-E48)</f>
        <v>65100</v>
      </c>
      <c r="F50" s="153">
        <f>SUM(F35-F48)</f>
        <v>256200</v>
      </c>
      <c r="G50" s="153">
        <f>SUM(G35-G48)</f>
        <v>-69500</v>
      </c>
      <c r="H50" s="153">
        <f>SUM(H35-H48)</f>
        <v>1220400</v>
      </c>
      <c r="I50" s="786">
        <f t="shared" si="12"/>
        <v>1472200</v>
      </c>
      <c r="J50" s="798"/>
      <c r="K50" s="666"/>
      <c r="L50" s="667"/>
      <c r="M50" s="764"/>
      <c r="N50" s="769"/>
      <c r="O50" s="667"/>
    </row>
    <row r="51" spans="1:15" ht="18.75" customHeight="1" x14ac:dyDescent="0.3">
      <c r="A51" s="1184" t="s">
        <v>224</v>
      </c>
      <c r="B51" s="514"/>
      <c r="C51" s="1051"/>
      <c r="D51" s="515"/>
      <c r="E51" s="1052"/>
      <c r="F51" s="516"/>
      <c r="G51" s="1052"/>
      <c r="H51" s="517"/>
      <c r="I51" s="1068"/>
      <c r="J51" s="771"/>
      <c r="K51" s="666"/>
      <c r="L51" s="667"/>
      <c r="M51" s="764"/>
      <c r="N51" s="769">
        <f t="shared" ref="N51" si="13">I51-L51-M51</f>
        <v>0</v>
      </c>
      <c r="O51" s="666"/>
    </row>
    <row r="52" spans="1:15" ht="18.75" customHeight="1" x14ac:dyDescent="0.3">
      <c r="A52" s="1053">
        <v>45660</v>
      </c>
      <c r="B52" s="2" t="s">
        <v>1900</v>
      </c>
      <c r="C52" s="955" t="s">
        <v>1899</v>
      </c>
      <c r="D52" s="41" t="s">
        <v>1898</v>
      </c>
      <c r="E52" s="684"/>
      <c r="F52" s="37"/>
      <c r="G52" s="684">
        <v>14040</v>
      </c>
      <c r="H52" s="1055"/>
      <c r="I52" s="1030">
        <f>SUM(E52:H52)</f>
        <v>14040</v>
      </c>
      <c r="J52" s="771"/>
      <c r="K52" s="666"/>
      <c r="L52" s="667"/>
      <c r="M52" s="764"/>
      <c r="N52" s="769">
        <f>I52-L52-M52</f>
        <v>14040</v>
      </c>
      <c r="O52" s="666"/>
    </row>
    <row r="53" spans="1:15" ht="18.75" customHeight="1" x14ac:dyDescent="0.3">
      <c r="A53" s="1053">
        <v>45663</v>
      </c>
      <c r="B53" s="2" t="s">
        <v>1913</v>
      </c>
      <c r="C53" s="1056" t="s">
        <v>1912</v>
      </c>
      <c r="D53" s="775" t="s">
        <v>1752</v>
      </c>
      <c r="E53" s="1058"/>
      <c r="F53" s="667"/>
      <c r="G53" s="1058">
        <v>23500</v>
      </c>
      <c r="H53" s="1067"/>
      <c r="I53" s="1058">
        <f t="shared" ref="I53:I68" si="14">SUM(E53:H53)</f>
        <v>23500</v>
      </c>
      <c r="J53" s="771"/>
      <c r="K53" s="666"/>
      <c r="L53" s="667"/>
      <c r="M53" s="764"/>
      <c r="N53" s="769">
        <f t="shared" ref="N53:N67" si="15">I53-L53-M53</f>
        <v>23500</v>
      </c>
      <c r="O53" s="667"/>
    </row>
    <row r="54" spans="1:15" ht="18.75" x14ac:dyDescent="0.3">
      <c r="A54" s="1053">
        <v>45664</v>
      </c>
      <c r="B54" s="2" t="s">
        <v>1921</v>
      </c>
      <c r="C54" s="1056" t="s">
        <v>1355</v>
      </c>
      <c r="D54" s="775" t="s">
        <v>1918</v>
      </c>
      <c r="E54" s="1058"/>
      <c r="F54" s="667"/>
      <c r="G54" s="1058">
        <v>8000</v>
      </c>
      <c r="H54" s="1067"/>
      <c r="I54" s="1058">
        <f t="shared" si="14"/>
        <v>8000</v>
      </c>
      <c r="J54" s="771">
        <v>45666</v>
      </c>
      <c r="K54" s="667" t="s">
        <v>1920</v>
      </c>
      <c r="L54" s="667">
        <v>3850</v>
      </c>
      <c r="M54" s="764"/>
      <c r="N54" s="769">
        <f t="shared" si="15"/>
        <v>4150</v>
      </c>
      <c r="O54" s="667"/>
    </row>
    <row r="55" spans="1:15" ht="18.75" customHeight="1" x14ac:dyDescent="0.3">
      <c r="A55" s="1053">
        <v>45664</v>
      </c>
      <c r="B55" s="2" t="s">
        <v>1922</v>
      </c>
      <c r="C55" s="1056" t="s">
        <v>1355</v>
      </c>
      <c r="D55" s="775" t="s">
        <v>1919</v>
      </c>
      <c r="E55" s="1058"/>
      <c r="F55" s="667"/>
      <c r="G55" s="1058">
        <v>8000</v>
      </c>
      <c r="H55" s="1067"/>
      <c r="I55" s="1058">
        <f t="shared" si="14"/>
        <v>8000</v>
      </c>
      <c r="J55" s="771"/>
      <c r="K55" s="772"/>
      <c r="L55" s="667"/>
      <c r="M55" s="764"/>
      <c r="N55" s="769">
        <f t="shared" si="15"/>
        <v>8000</v>
      </c>
      <c r="O55" s="666"/>
    </row>
    <row r="56" spans="1:15" ht="56.25" x14ac:dyDescent="0.3">
      <c r="A56" s="1053">
        <v>45672</v>
      </c>
      <c r="B56" s="171" t="s">
        <v>1965</v>
      </c>
      <c r="C56" s="1056" t="s">
        <v>1961</v>
      </c>
      <c r="D56" s="775" t="s">
        <v>1962</v>
      </c>
      <c r="E56" s="1058">
        <v>8700</v>
      </c>
      <c r="F56" s="667"/>
      <c r="G56" s="1058"/>
      <c r="H56" s="1067"/>
      <c r="I56" s="1058">
        <f t="shared" si="14"/>
        <v>8700</v>
      </c>
      <c r="J56" s="771"/>
      <c r="K56" s="667"/>
      <c r="L56" s="667"/>
      <c r="M56" s="773"/>
      <c r="N56" s="769">
        <f t="shared" si="15"/>
        <v>8700</v>
      </c>
      <c r="O56" s="666"/>
    </row>
    <row r="57" spans="1:15" ht="56.25" x14ac:dyDescent="0.3">
      <c r="A57" s="1053">
        <v>45672</v>
      </c>
      <c r="B57" s="171" t="s">
        <v>1966</v>
      </c>
      <c r="C57" s="1056" t="s">
        <v>1961</v>
      </c>
      <c r="D57" s="775" t="s">
        <v>1963</v>
      </c>
      <c r="E57" s="1058">
        <v>8700</v>
      </c>
      <c r="F57" s="667"/>
      <c r="G57" s="1058"/>
      <c r="H57" s="1067"/>
      <c r="I57" s="1058">
        <f t="shared" si="14"/>
        <v>8700</v>
      </c>
      <c r="J57" s="771"/>
      <c r="K57" s="774"/>
      <c r="L57" s="667"/>
      <c r="M57" s="764"/>
      <c r="N57" s="769">
        <f t="shared" si="15"/>
        <v>8700</v>
      </c>
      <c r="O57" s="666"/>
    </row>
    <row r="58" spans="1:15" ht="56.25" x14ac:dyDescent="0.3">
      <c r="A58" s="1053">
        <v>45672</v>
      </c>
      <c r="B58" s="171" t="s">
        <v>1967</v>
      </c>
      <c r="C58" s="1056" t="s">
        <v>1961</v>
      </c>
      <c r="D58" s="775" t="s">
        <v>1964</v>
      </c>
      <c r="E58" s="1058">
        <v>8700</v>
      </c>
      <c r="F58" s="667"/>
      <c r="G58" s="1058"/>
      <c r="H58" s="1067"/>
      <c r="I58" s="1058">
        <f t="shared" si="14"/>
        <v>8700</v>
      </c>
      <c r="J58" s="771"/>
      <c r="K58" s="774"/>
      <c r="L58" s="667"/>
      <c r="M58" s="764"/>
      <c r="N58" s="769">
        <f t="shared" si="15"/>
        <v>8700</v>
      </c>
      <c r="O58" s="666"/>
    </row>
    <row r="59" spans="1:15" ht="39.75" customHeight="1" x14ac:dyDescent="0.3">
      <c r="A59" s="1053">
        <v>45674</v>
      </c>
      <c r="B59" s="171" t="s">
        <v>1979</v>
      </c>
      <c r="C59" s="1056" t="s">
        <v>1977</v>
      </c>
      <c r="D59" s="775" t="s">
        <v>1978</v>
      </c>
      <c r="E59" s="1058"/>
      <c r="F59" s="667">
        <v>1915</v>
      </c>
      <c r="G59" s="1058"/>
      <c r="H59" s="1067"/>
      <c r="I59" s="1058">
        <f t="shared" si="14"/>
        <v>1915</v>
      </c>
      <c r="J59" s="771">
        <v>45677</v>
      </c>
      <c r="K59" s="666" t="s">
        <v>1980</v>
      </c>
      <c r="L59" s="667">
        <v>1915</v>
      </c>
      <c r="M59" s="764"/>
      <c r="N59" s="769">
        <f t="shared" si="15"/>
        <v>0</v>
      </c>
      <c r="O59" s="666"/>
    </row>
    <row r="60" spans="1:15" s="1178" customFormat="1" ht="18.75" customHeight="1" x14ac:dyDescent="0.3">
      <c r="A60" s="1053">
        <v>45680</v>
      </c>
      <c r="B60" s="171" t="s">
        <v>2006</v>
      </c>
      <c r="C60" s="1056" t="s">
        <v>1984</v>
      </c>
      <c r="D60" s="666" t="s">
        <v>2004</v>
      </c>
      <c r="E60" s="1058"/>
      <c r="F60" s="1058"/>
      <c r="G60" s="667">
        <v>9590</v>
      </c>
      <c r="H60" s="1067"/>
      <c r="I60" s="1058">
        <f t="shared" ref="I60:I61" si="16">SUM(E60:H60)</f>
        <v>9590</v>
      </c>
      <c r="J60" s="771">
        <v>45681</v>
      </c>
      <c r="K60" s="775" t="s">
        <v>2005</v>
      </c>
      <c r="L60" s="667">
        <v>6090</v>
      </c>
      <c r="M60" s="764"/>
      <c r="N60" s="769">
        <f t="shared" ref="N60:N61" si="17">I60-L60-M60</f>
        <v>3500</v>
      </c>
      <c r="O60" s="666"/>
    </row>
    <row r="61" spans="1:15" s="1178" customFormat="1" ht="37.5" x14ac:dyDescent="0.3">
      <c r="A61" s="1053">
        <v>45684</v>
      </c>
      <c r="B61" s="171" t="s">
        <v>2013</v>
      </c>
      <c r="C61" s="1192" t="s">
        <v>1981</v>
      </c>
      <c r="D61" s="775" t="s">
        <v>2011</v>
      </c>
      <c r="E61" s="1058">
        <v>11100</v>
      </c>
      <c r="F61" s="667"/>
      <c r="G61" s="1058"/>
      <c r="H61" s="1067"/>
      <c r="I61" s="1058">
        <f t="shared" si="16"/>
        <v>11100</v>
      </c>
      <c r="J61" s="771"/>
      <c r="K61" s="775"/>
      <c r="L61" s="667"/>
      <c r="M61" s="764"/>
      <c r="N61" s="769">
        <f t="shared" si="17"/>
        <v>11100</v>
      </c>
      <c r="O61" s="666"/>
    </row>
    <row r="62" spans="1:15" ht="37.5" x14ac:dyDescent="0.3">
      <c r="A62" s="1053">
        <v>45684</v>
      </c>
      <c r="B62" s="171" t="s">
        <v>2014</v>
      </c>
      <c r="C62" s="1192" t="s">
        <v>1981</v>
      </c>
      <c r="D62" s="775" t="s">
        <v>2012</v>
      </c>
      <c r="E62" s="1058">
        <v>12300</v>
      </c>
      <c r="F62" s="1058"/>
      <c r="G62" s="667"/>
      <c r="H62" s="1067"/>
      <c r="I62" s="1058">
        <f t="shared" si="14"/>
        <v>12300</v>
      </c>
      <c r="J62" s="771"/>
      <c r="K62" s="775"/>
      <c r="L62" s="667"/>
      <c r="M62" s="764"/>
      <c r="N62" s="769">
        <f t="shared" si="15"/>
        <v>12300</v>
      </c>
      <c r="O62" s="666"/>
    </row>
    <row r="63" spans="1:15" s="1178" customFormat="1" ht="39" customHeight="1" x14ac:dyDescent="0.3">
      <c r="A63" s="1053">
        <v>45685</v>
      </c>
      <c r="B63" s="171" t="s">
        <v>2025</v>
      </c>
      <c r="C63" s="1056" t="s">
        <v>2023</v>
      </c>
      <c r="D63" s="775" t="s">
        <v>2024</v>
      </c>
      <c r="E63" s="1058"/>
      <c r="F63" s="667">
        <v>3000</v>
      </c>
      <c r="G63" s="1058"/>
      <c r="H63" s="1067"/>
      <c r="I63" s="1058">
        <f t="shared" ref="I63:I66" si="18">SUM(E63:H63)</f>
        <v>3000</v>
      </c>
      <c r="J63" s="771"/>
      <c r="K63" s="775"/>
      <c r="L63" s="667"/>
      <c r="M63" s="764"/>
      <c r="N63" s="769">
        <f t="shared" ref="N63:N66" si="19">I63-L63-M63</f>
        <v>3000</v>
      </c>
      <c r="O63" s="666"/>
    </row>
    <row r="64" spans="1:15" s="1178" customFormat="1" ht="37.5" x14ac:dyDescent="0.3">
      <c r="A64" s="1053">
        <v>45685</v>
      </c>
      <c r="B64" s="171" t="s">
        <v>2034</v>
      </c>
      <c r="C64" s="1192" t="s">
        <v>2033</v>
      </c>
      <c r="D64" s="775" t="s">
        <v>2035</v>
      </c>
      <c r="E64" s="1058">
        <v>6300</v>
      </c>
      <c r="F64" s="667"/>
      <c r="G64" s="1058"/>
      <c r="H64" s="1067"/>
      <c r="I64" s="1058">
        <f t="shared" ref="I64:I65" si="20">SUM(E64:H64)</f>
        <v>6300</v>
      </c>
      <c r="J64" s="771"/>
      <c r="K64" s="775"/>
      <c r="L64" s="667"/>
      <c r="M64" s="764"/>
      <c r="N64" s="769">
        <f t="shared" ref="N64:N65" si="21">I64-L64-M64</f>
        <v>6300</v>
      </c>
      <c r="O64" s="666"/>
    </row>
    <row r="65" spans="1:15" s="1178" customFormat="1" ht="37.5" x14ac:dyDescent="0.3">
      <c r="A65" s="1053">
        <v>45686</v>
      </c>
      <c r="B65" s="171" t="s">
        <v>2037</v>
      </c>
      <c r="C65" s="1056" t="s">
        <v>2033</v>
      </c>
      <c r="D65" s="775" t="s">
        <v>2036</v>
      </c>
      <c r="E65" s="1058"/>
      <c r="F65" s="667">
        <v>6300</v>
      </c>
      <c r="G65" s="1058"/>
      <c r="H65" s="1067"/>
      <c r="I65" s="1058">
        <f t="shared" si="20"/>
        <v>6300</v>
      </c>
      <c r="J65" s="771"/>
      <c r="K65" s="775"/>
      <c r="L65" s="667"/>
      <c r="M65" s="764"/>
      <c r="N65" s="769">
        <f t="shared" si="21"/>
        <v>6300</v>
      </c>
      <c r="O65" s="666"/>
    </row>
    <row r="66" spans="1:15" s="1178" customFormat="1" ht="18.75" customHeight="1" x14ac:dyDescent="0.3">
      <c r="A66" s="1053">
        <v>45688</v>
      </c>
      <c r="B66" s="171" t="s">
        <v>2046</v>
      </c>
      <c r="C66" s="1056" t="s">
        <v>2044</v>
      </c>
      <c r="D66" s="666" t="s">
        <v>2045</v>
      </c>
      <c r="E66" s="1058"/>
      <c r="F66" s="667"/>
      <c r="G66" s="1058">
        <v>21000</v>
      </c>
      <c r="H66" s="1067"/>
      <c r="I66" s="1058">
        <f t="shared" si="18"/>
        <v>21000</v>
      </c>
      <c r="J66" s="771"/>
      <c r="K66" s="775"/>
      <c r="L66" s="667"/>
      <c r="M66" s="764"/>
      <c r="N66" s="769">
        <f t="shared" si="19"/>
        <v>21000</v>
      </c>
      <c r="O66" s="666"/>
    </row>
    <row r="67" spans="1:15" ht="18.75" customHeight="1" x14ac:dyDescent="0.3">
      <c r="A67" s="1053"/>
      <c r="B67" s="1179"/>
      <c r="C67" s="1056"/>
      <c r="D67" s="666"/>
      <c r="E67" s="1058"/>
      <c r="F67" s="667"/>
      <c r="G67" s="1058"/>
      <c r="H67" s="1067"/>
      <c r="I67" s="1058">
        <f t="shared" si="14"/>
        <v>0</v>
      </c>
      <c r="J67" s="771"/>
      <c r="K67" s="775"/>
      <c r="L67" s="667"/>
      <c r="M67" s="764"/>
      <c r="N67" s="769">
        <f t="shared" si="15"/>
        <v>0</v>
      </c>
      <c r="O67" s="666"/>
    </row>
    <row r="68" spans="1:15" ht="18.75" customHeight="1" x14ac:dyDescent="0.3">
      <c r="A68" s="1180"/>
      <c r="B68" s="1181"/>
      <c r="C68" s="1125"/>
      <c r="D68" s="1182"/>
      <c r="E68" s="1168"/>
      <c r="F68" s="1169"/>
      <c r="G68" s="1168"/>
      <c r="H68" s="1170"/>
      <c r="I68" s="1183">
        <f t="shared" si="14"/>
        <v>0</v>
      </c>
      <c r="J68" s="771"/>
      <c r="K68" s="775"/>
      <c r="L68" s="667"/>
      <c r="M68" s="764"/>
      <c r="N68" s="769">
        <f>I68-L68-M68</f>
        <v>0</v>
      </c>
      <c r="O68" s="666"/>
    </row>
    <row r="69" spans="1:15" ht="18.75" customHeight="1" x14ac:dyDescent="0.3">
      <c r="A69" s="742"/>
      <c r="B69" s="519"/>
      <c r="C69" s="482"/>
      <c r="D69" s="149" t="s">
        <v>225</v>
      </c>
      <c r="E69" s="150">
        <f>SUM(E51:E68)</f>
        <v>55800</v>
      </c>
      <c r="F69" s="150">
        <f>SUM(F51:F68)</f>
        <v>11215</v>
      </c>
      <c r="G69" s="150">
        <f>SUM(G51:G68)</f>
        <v>84130</v>
      </c>
      <c r="H69" s="150">
        <f>SUM(H51:H68)</f>
        <v>0</v>
      </c>
      <c r="I69" s="786">
        <f t="shared" si="12"/>
        <v>151145</v>
      </c>
      <c r="J69" s="798"/>
      <c r="K69" s="666"/>
      <c r="L69" s="667"/>
      <c r="M69" s="764"/>
      <c r="N69" s="769"/>
      <c r="O69" s="667"/>
    </row>
    <row r="70" spans="1:15" ht="18.75" customHeight="1" x14ac:dyDescent="0.3">
      <c r="A70" s="742"/>
      <c r="B70" s="519"/>
      <c r="C70" s="482"/>
      <c r="D70" s="149" t="s">
        <v>226</v>
      </c>
      <c r="E70" s="150">
        <f>SUM(E49+E69)</f>
        <v>155700</v>
      </c>
      <c r="F70" s="150">
        <f>SUM(F49+F69)</f>
        <v>20215</v>
      </c>
      <c r="G70" s="150">
        <f>SUM(G49+G69)</f>
        <v>395630</v>
      </c>
      <c r="H70" s="150">
        <f>SUM(H49+H69)</f>
        <v>0</v>
      </c>
      <c r="I70" s="786">
        <f t="shared" si="12"/>
        <v>571545</v>
      </c>
      <c r="J70" s="798"/>
      <c r="K70" s="666"/>
      <c r="L70" s="667"/>
      <c r="M70" s="764"/>
      <c r="N70" s="769"/>
      <c r="O70" s="667"/>
    </row>
    <row r="71" spans="1:15" ht="18.75" customHeight="1" x14ac:dyDescent="0.3">
      <c r="A71" s="743"/>
      <c r="B71" s="520"/>
      <c r="C71" s="484"/>
      <c r="D71" s="152" t="s">
        <v>227</v>
      </c>
      <c r="E71" s="153">
        <f>SUM(E50-E69)</f>
        <v>9300</v>
      </c>
      <c r="F71" s="153">
        <f>SUM(F50-F69)</f>
        <v>244985</v>
      </c>
      <c r="G71" s="153">
        <f>SUM(G50-G69)</f>
        <v>-153630</v>
      </c>
      <c r="H71" s="153">
        <f>SUM(H50-H69)</f>
        <v>1220400</v>
      </c>
      <c r="I71" s="787">
        <f t="shared" si="12"/>
        <v>1321055</v>
      </c>
      <c r="J71" s="798"/>
      <c r="K71" s="666"/>
      <c r="L71" s="667"/>
      <c r="M71" s="764"/>
      <c r="N71" s="769"/>
      <c r="O71" s="667"/>
    </row>
    <row r="72" spans="1:15" ht="18.75" customHeight="1" x14ac:dyDescent="0.3">
      <c r="A72" s="1050" t="s">
        <v>228</v>
      </c>
      <c r="B72" s="1072"/>
      <c r="C72" s="1051"/>
      <c r="D72" s="515"/>
      <c r="E72" s="1052"/>
      <c r="F72" s="516"/>
      <c r="G72" s="1052"/>
      <c r="H72" s="517"/>
      <c r="I72" s="1030"/>
      <c r="J72" s="771"/>
      <c r="K72" s="666"/>
      <c r="L72" s="667"/>
      <c r="M72" s="764"/>
      <c r="N72" s="769">
        <f t="shared" ref="N72" si="22">I72-L72-M72</f>
        <v>0</v>
      </c>
      <c r="O72" s="666"/>
    </row>
    <row r="73" spans="1:15" ht="18.75" customHeight="1" x14ac:dyDescent="0.3">
      <c r="A73" s="1069"/>
      <c r="B73" s="2"/>
      <c r="C73" s="955"/>
      <c r="D73" s="41"/>
      <c r="E73" s="684"/>
      <c r="F73" s="37"/>
      <c r="G73" s="684"/>
      <c r="H73" s="1055"/>
      <c r="I73" s="1030">
        <f>SUM(E73:H73)</f>
        <v>0</v>
      </c>
      <c r="J73" s="771"/>
      <c r="K73" s="666"/>
      <c r="L73" s="667"/>
      <c r="M73" s="764"/>
      <c r="N73" s="769">
        <f>I73-L73-M73</f>
        <v>0</v>
      </c>
      <c r="O73" s="666"/>
    </row>
    <row r="74" spans="1:15" ht="18.75" x14ac:dyDescent="0.3">
      <c r="A74" s="1070"/>
      <c r="B74" s="518"/>
      <c r="C74" s="1071"/>
      <c r="D74" s="124"/>
      <c r="E74" s="1057"/>
      <c r="F74" s="43"/>
      <c r="G74" s="1057"/>
      <c r="H74" s="1059"/>
      <c r="I74" s="1030">
        <f t="shared" ref="I74:I83" si="23">SUM(E74:H74)</f>
        <v>0</v>
      </c>
      <c r="J74" s="771"/>
      <c r="K74" s="666"/>
      <c r="L74" s="667"/>
      <c r="M74" s="764"/>
      <c r="N74" s="769">
        <f t="shared" ref="N74:N82" si="24">I74-L74-M74</f>
        <v>0</v>
      </c>
      <c r="O74" s="667"/>
    </row>
    <row r="75" spans="1:15" ht="18.75" customHeight="1" x14ac:dyDescent="0.3">
      <c r="A75" s="957"/>
      <c r="B75" s="2"/>
      <c r="C75" s="955"/>
      <c r="D75" s="34"/>
      <c r="E75" s="684"/>
      <c r="F75" s="37"/>
      <c r="G75" s="684"/>
      <c r="H75" s="1055"/>
      <c r="I75" s="1030">
        <f t="shared" si="23"/>
        <v>0</v>
      </c>
      <c r="J75" s="771"/>
      <c r="K75" s="667"/>
      <c r="L75" s="667"/>
      <c r="M75" s="764"/>
      <c r="N75" s="769">
        <f t="shared" si="24"/>
        <v>0</v>
      </c>
      <c r="O75" s="667"/>
    </row>
    <row r="76" spans="1:15" ht="18.75" customHeight="1" x14ac:dyDescent="0.3">
      <c r="A76" s="957"/>
      <c r="B76" s="171"/>
      <c r="C76" s="955"/>
      <c r="D76" s="34"/>
      <c r="E76" s="684"/>
      <c r="F76" s="37"/>
      <c r="G76" s="684"/>
      <c r="H76" s="1055"/>
      <c r="I76" s="1030">
        <f t="shared" si="23"/>
        <v>0</v>
      </c>
      <c r="J76" s="771"/>
      <c r="K76" s="772"/>
      <c r="L76" s="667"/>
      <c r="M76" s="764"/>
      <c r="N76" s="769">
        <f t="shared" si="24"/>
        <v>0</v>
      </c>
      <c r="O76" s="666"/>
    </row>
    <row r="77" spans="1:15" ht="18.75" customHeight="1" x14ac:dyDescent="0.3">
      <c r="A77" s="957"/>
      <c r="B77" s="2"/>
      <c r="C77" s="955"/>
      <c r="D77" s="34"/>
      <c r="E77" s="684"/>
      <c r="F77" s="37"/>
      <c r="G77" s="684"/>
      <c r="H77" s="1055"/>
      <c r="I77" s="1030">
        <f t="shared" si="23"/>
        <v>0</v>
      </c>
      <c r="J77" s="771"/>
      <c r="K77" s="667"/>
      <c r="L77" s="667"/>
      <c r="M77" s="773"/>
      <c r="N77" s="769">
        <f t="shared" si="24"/>
        <v>0</v>
      </c>
      <c r="O77" s="666"/>
    </row>
    <row r="78" spans="1:15" ht="18.75" customHeight="1" x14ac:dyDescent="0.3">
      <c r="A78" s="957"/>
      <c r="B78" s="2"/>
      <c r="C78" s="955"/>
      <c r="D78" s="34"/>
      <c r="E78" s="684"/>
      <c r="F78" s="37"/>
      <c r="G78" s="684"/>
      <c r="H78" s="1055"/>
      <c r="I78" s="1030">
        <f t="shared" si="23"/>
        <v>0</v>
      </c>
      <c r="J78" s="771"/>
      <c r="K78" s="774"/>
      <c r="L78" s="667"/>
      <c r="M78" s="764"/>
      <c r="N78" s="769">
        <f t="shared" si="24"/>
        <v>0</v>
      </c>
      <c r="O78" s="666"/>
    </row>
    <row r="79" spans="1:15" ht="18.75" x14ac:dyDescent="0.3">
      <c r="A79" s="957"/>
      <c r="B79" s="2"/>
      <c r="C79" s="955"/>
      <c r="D79" s="34"/>
      <c r="E79" s="684"/>
      <c r="F79" s="37"/>
      <c r="G79" s="684"/>
      <c r="H79" s="1055"/>
      <c r="I79" s="1030">
        <f t="shared" si="23"/>
        <v>0</v>
      </c>
      <c r="J79" s="771"/>
      <c r="K79" s="774"/>
      <c r="L79" s="667"/>
      <c r="M79" s="764"/>
      <c r="N79" s="769">
        <f t="shared" si="24"/>
        <v>0</v>
      </c>
      <c r="O79" s="666"/>
    </row>
    <row r="80" spans="1:15" ht="18.75" x14ac:dyDescent="0.3">
      <c r="A80" s="957"/>
      <c r="B80" s="2"/>
      <c r="C80" s="955"/>
      <c r="D80" s="34"/>
      <c r="E80" s="684"/>
      <c r="F80" s="37"/>
      <c r="G80" s="684"/>
      <c r="H80" s="1055"/>
      <c r="I80" s="1030">
        <f t="shared" si="23"/>
        <v>0</v>
      </c>
      <c r="J80" s="771"/>
      <c r="K80" s="666"/>
      <c r="L80" s="667"/>
      <c r="M80" s="764"/>
      <c r="N80" s="769">
        <f t="shared" si="24"/>
        <v>0</v>
      </c>
      <c r="O80" s="666"/>
    </row>
    <row r="81" spans="1:15" ht="18.75" customHeight="1" x14ac:dyDescent="0.3">
      <c r="A81" s="1061"/>
      <c r="B81" s="1062"/>
      <c r="C81" s="955"/>
      <c r="D81" s="40"/>
      <c r="E81" s="684"/>
      <c r="F81" s="684"/>
      <c r="G81" s="43"/>
      <c r="H81" s="1059"/>
      <c r="I81" s="1030">
        <f t="shared" si="23"/>
        <v>0</v>
      </c>
      <c r="J81" s="771"/>
      <c r="K81" s="775"/>
      <c r="L81" s="667"/>
      <c r="M81" s="764"/>
      <c r="N81" s="769">
        <f t="shared" si="24"/>
        <v>0</v>
      </c>
      <c r="O81" s="666"/>
    </row>
    <row r="82" spans="1:15" ht="18.75" customHeight="1" x14ac:dyDescent="0.3">
      <c r="A82" s="957"/>
      <c r="B82" s="2"/>
      <c r="C82" s="955"/>
      <c r="D82" s="41"/>
      <c r="E82" s="684"/>
      <c r="F82" s="37"/>
      <c r="G82" s="684"/>
      <c r="H82" s="1055"/>
      <c r="I82" s="1030">
        <f t="shared" si="23"/>
        <v>0</v>
      </c>
      <c r="J82" s="771"/>
      <c r="K82" s="775"/>
      <c r="L82" s="667"/>
      <c r="M82" s="764"/>
      <c r="N82" s="769">
        <f t="shared" si="24"/>
        <v>0</v>
      </c>
      <c r="O82" s="666"/>
    </row>
    <row r="83" spans="1:15" ht="18.75" customHeight="1" x14ac:dyDescent="0.3">
      <c r="A83" s="1031"/>
      <c r="B83" s="1063"/>
      <c r="C83" s="1033"/>
      <c r="D83" s="1034"/>
      <c r="E83" s="916"/>
      <c r="F83" s="888"/>
      <c r="G83" s="916"/>
      <c r="H83" s="1065"/>
      <c r="I83" s="790">
        <f t="shared" si="23"/>
        <v>0</v>
      </c>
      <c r="J83" s="771"/>
      <c r="K83" s="775"/>
      <c r="L83" s="667"/>
      <c r="M83" s="764"/>
      <c r="N83" s="769">
        <f>I83-L83-M83</f>
        <v>0</v>
      </c>
      <c r="O83" s="666"/>
    </row>
    <row r="84" spans="1:15" ht="18.75" customHeight="1" x14ac:dyDescent="0.3">
      <c r="A84" s="742"/>
      <c r="B84" s="519"/>
      <c r="C84" s="482"/>
      <c r="D84" s="149" t="s">
        <v>229</v>
      </c>
      <c r="E84" s="150">
        <f>SUM(E72:E83)</f>
        <v>0</v>
      </c>
      <c r="F84" s="150">
        <f>SUM(F72:F83)</f>
        <v>0</v>
      </c>
      <c r="G84" s="150">
        <f>SUM(G72:G83)</f>
        <v>0</v>
      </c>
      <c r="H84" s="150">
        <f>SUM(H72:H83)</f>
        <v>0</v>
      </c>
      <c r="I84" s="791">
        <f t="shared" si="12"/>
        <v>0</v>
      </c>
      <c r="J84" s="798"/>
      <c r="K84" s="666"/>
      <c r="L84" s="667"/>
      <c r="M84" s="764"/>
      <c r="N84" s="769"/>
      <c r="O84" s="667"/>
    </row>
    <row r="85" spans="1:15" ht="18.75" customHeight="1" x14ac:dyDescent="0.3">
      <c r="A85" s="742"/>
      <c r="B85" s="519"/>
      <c r="C85" s="482"/>
      <c r="D85" s="149" t="s">
        <v>230</v>
      </c>
      <c r="E85" s="150">
        <f>SUM(E70+E84)</f>
        <v>155700</v>
      </c>
      <c r="F85" s="150">
        <f>SUM(F70+F84)</f>
        <v>20215</v>
      </c>
      <c r="G85" s="150">
        <f>SUM(G70+G84)</f>
        <v>395630</v>
      </c>
      <c r="H85" s="150">
        <f>SUM(H70+H84)</f>
        <v>0</v>
      </c>
      <c r="I85" s="786">
        <f t="shared" si="12"/>
        <v>571545</v>
      </c>
      <c r="J85" s="798"/>
      <c r="K85" s="666"/>
      <c r="L85" s="667"/>
      <c r="M85" s="764"/>
      <c r="N85" s="769"/>
      <c r="O85" s="667"/>
    </row>
    <row r="86" spans="1:15" ht="18.75" customHeight="1" x14ac:dyDescent="0.3">
      <c r="A86" s="743"/>
      <c r="B86" s="520"/>
      <c r="C86" s="484"/>
      <c r="D86" s="152" t="s">
        <v>231</v>
      </c>
      <c r="E86" s="153">
        <f>SUM(E71-E84)</f>
        <v>9300</v>
      </c>
      <c r="F86" s="153">
        <f>SUM(F71-F84)</f>
        <v>244985</v>
      </c>
      <c r="G86" s="153">
        <f>SUM(G71-G84)</f>
        <v>-153630</v>
      </c>
      <c r="H86" s="153">
        <f>SUM(H71-H84)</f>
        <v>1220400</v>
      </c>
      <c r="I86" s="787">
        <f t="shared" si="12"/>
        <v>1321055</v>
      </c>
      <c r="J86" s="798"/>
      <c r="K86" s="666"/>
      <c r="L86" s="667"/>
      <c r="M86" s="764"/>
      <c r="N86" s="769"/>
      <c r="O86" s="667"/>
    </row>
    <row r="87" spans="1:15" ht="18.75" customHeight="1" x14ac:dyDescent="0.3">
      <c r="A87" s="1050" t="s">
        <v>232</v>
      </c>
      <c r="B87" s="514"/>
      <c r="C87" s="1051"/>
      <c r="D87" s="515"/>
      <c r="E87" s="1052"/>
      <c r="F87" s="516"/>
      <c r="G87" s="1052"/>
      <c r="H87" s="1052"/>
      <c r="I87" s="1036"/>
      <c r="J87" s="771"/>
      <c r="K87" s="666"/>
      <c r="L87" s="667"/>
      <c r="M87" s="764"/>
      <c r="N87" s="769">
        <f t="shared" ref="N87" si="25">I87-L87-M87</f>
        <v>0</v>
      </c>
      <c r="O87" s="666"/>
    </row>
    <row r="88" spans="1:15" ht="18.75" customHeight="1" x14ac:dyDescent="0.3">
      <c r="A88" s="1069"/>
      <c r="B88" s="2"/>
      <c r="C88" s="955"/>
      <c r="D88" s="41"/>
      <c r="E88" s="684"/>
      <c r="F88" s="37"/>
      <c r="G88" s="684"/>
      <c r="H88" s="1055"/>
      <c r="I88" s="1030">
        <f>SUM(E88:H88)</f>
        <v>0</v>
      </c>
      <c r="J88" s="771"/>
      <c r="K88" s="666"/>
      <c r="L88" s="667"/>
      <c r="M88" s="764"/>
      <c r="N88" s="769">
        <f>I88-L88-M88</f>
        <v>0</v>
      </c>
      <c r="O88" s="666"/>
    </row>
    <row r="89" spans="1:15" ht="18.75" x14ac:dyDescent="0.3">
      <c r="A89" s="1070"/>
      <c r="B89" s="518"/>
      <c r="C89" s="1071"/>
      <c r="D89" s="124"/>
      <c r="E89" s="1057"/>
      <c r="F89" s="43"/>
      <c r="G89" s="1057"/>
      <c r="H89" s="1059"/>
      <c r="I89" s="1030">
        <f t="shared" ref="I89:I98" si="26">SUM(E89:H89)</f>
        <v>0</v>
      </c>
      <c r="J89" s="771"/>
      <c r="K89" s="666"/>
      <c r="L89" s="667"/>
      <c r="M89" s="764"/>
      <c r="N89" s="769">
        <f t="shared" ref="N89:N97" si="27">I89-L89-M89</f>
        <v>0</v>
      </c>
      <c r="O89" s="667"/>
    </row>
    <row r="90" spans="1:15" ht="18.75" customHeight="1" x14ac:dyDescent="0.3">
      <c r="A90" s="957"/>
      <c r="B90" s="2"/>
      <c r="C90" s="955"/>
      <c r="D90" s="34"/>
      <c r="E90" s="684"/>
      <c r="F90" s="37"/>
      <c r="G90" s="684"/>
      <c r="H90" s="1055"/>
      <c r="I90" s="1030">
        <f t="shared" si="26"/>
        <v>0</v>
      </c>
      <c r="J90" s="771"/>
      <c r="K90" s="667"/>
      <c r="L90" s="667"/>
      <c r="M90" s="764"/>
      <c r="N90" s="769">
        <f t="shared" si="27"/>
        <v>0</v>
      </c>
      <c r="O90" s="667"/>
    </row>
    <row r="91" spans="1:15" ht="18.75" customHeight="1" x14ac:dyDescent="0.3">
      <c r="A91" s="957"/>
      <c r="B91" s="171"/>
      <c r="C91" s="955"/>
      <c r="D91" s="34"/>
      <c r="E91" s="684"/>
      <c r="F91" s="37"/>
      <c r="G91" s="684"/>
      <c r="H91" s="1055"/>
      <c r="I91" s="1030">
        <f t="shared" si="26"/>
        <v>0</v>
      </c>
      <c r="J91" s="771"/>
      <c r="K91" s="772"/>
      <c r="L91" s="667"/>
      <c r="M91" s="764"/>
      <c r="N91" s="769">
        <f t="shared" si="27"/>
        <v>0</v>
      </c>
      <c r="O91" s="666"/>
    </row>
    <row r="92" spans="1:15" ht="18.75" customHeight="1" x14ac:dyDescent="0.3">
      <c r="A92" s="957"/>
      <c r="B92" s="2"/>
      <c r="C92" s="955"/>
      <c r="D92" s="34"/>
      <c r="E92" s="684"/>
      <c r="F92" s="37"/>
      <c r="G92" s="684"/>
      <c r="H92" s="1055"/>
      <c r="I92" s="1030">
        <f t="shared" si="26"/>
        <v>0</v>
      </c>
      <c r="J92" s="771"/>
      <c r="K92" s="667"/>
      <c r="L92" s="667"/>
      <c r="M92" s="773"/>
      <c r="N92" s="769">
        <f t="shared" si="27"/>
        <v>0</v>
      </c>
      <c r="O92" s="666"/>
    </row>
    <row r="93" spans="1:15" ht="18.75" customHeight="1" x14ac:dyDescent="0.3">
      <c r="A93" s="957"/>
      <c r="B93" s="2"/>
      <c r="C93" s="955"/>
      <c r="D93" s="34"/>
      <c r="E93" s="684"/>
      <c r="F93" s="37"/>
      <c r="G93" s="684"/>
      <c r="H93" s="1055"/>
      <c r="I93" s="1030">
        <f t="shared" si="26"/>
        <v>0</v>
      </c>
      <c r="J93" s="771"/>
      <c r="K93" s="774"/>
      <c r="L93" s="667"/>
      <c r="M93" s="764"/>
      <c r="N93" s="769">
        <f t="shared" si="27"/>
        <v>0</v>
      </c>
      <c r="O93" s="666"/>
    </row>
    <row r="94" spans="1:15" ht="18.75" x14ac:dyDescent="0.3">
      <c r="A94" s="957"/>
      <c r="B94" s="2"/>
      <c r="C94" s="955"/>
      <c r="D94" s="34"/>
      <c r="E94" s="684"/>
      <c r="F94" s="37"/>
      <c r="G94" s="684"/>
      <c r="H94" s="1055"/>
      <c r="I94" s="1030">
        <f t="shared" si="26"/>
        <v>0</v>
      </c>
      <c r="J94" s="771"/>
      <c r="K94" s="774"/>
      <c r="L94" s="667"/>
      <c r="M94" s="764"/>
      <c r="N94" s="769">
        <f t="shared" si="27"/>
        <v>0</v>
      </c>
      <c r="O94" s="666"/>
    </row>
    <row r="95" spans="1:15" ht="18.75" x14ac:dyDescent="0.3">
      <c r="A95" s="957"/>
      <c r="B95" s="2"/>
      <c r="C95" s="955"/>
      <c r="D95" s="34"/>
      <c r="E95" s="684"/>
      <c r="F95" s="37"/>
      <c r="G95" s="684"/>
      <c r="H95" s="1055"/>
      <c r="I95" s="1030">
        <f t="shared" si="26"/>
        <v>0</v>
      </c>
      <c r="J95" s="771"/>
      <c r="K95" s="666"/>
      <c r="L95" s="667"/>
      <c r="M95" s="764"/>
      <c r="N95" s="769">
        <f t="shared" si="27"/>
        <v>0</v>
      </c>
      <c r="O95" s="666"/>
    </row>
    <row r="96" spans="1:15" ht="18.75" customHeight="1" x14ac:dyDescent="0.3">
      <c r="A96" s="1061"/>
      <c r="B96" s="1062"/>
      <c r="C96" s="955"/>
      <c r="D96" s="40"/>
      <c r="E96" s="684"/>
      <c r="F96" s="684"/>
      <c r="G96" s="43"/>
      <c r="H96" s="1059"/>
      <c r="I96" s="1030">
        <f t="shared" si="26"/>
        <v>0</v>
      </c>
      <c r="J96" s="771"/>
      <c r="K96" s="775"/>
      <c r="L96" s="667"/>
      <c r="M96" s="764"/>
      <c r="N96" s="769">
        <f t="shared" si="27"/>
        <v>0</v>
      </c>
      <c r="O96" s="666"/>
    </row>
    <row r="97" spans="1:15" ht="18.75" customHeight="1" x14ac:dyDescent="0.3">
      <c r="A97" s="957"/>
      <c r="B97" s="2"/>
      <c r="C97" s="955"/>
      <c r="D97" s="41"/>
      <c r="E97" s="684"/>
      <c r="F97" s="37"/>
      <c r="G97" s="684"/>
      <c r="H97" s="1055"/>
      <c r="I97" s="1030">
        <f t="shared" si="26"/>
        <v>0</v>
      </c>
      <c r="J97" s="771"/>
      <c r="K97" s="775"/>
      <c r="L97" s="667"/>
      <c r="M97" s="764"/>
      <c r="N97" s="769">
        <f t="shared" si="27"/>
        <v>0</v>
      </c>
      <c r="O97" s="666"/>
    </row>
    <row r="98" spans="1:15" ht="18.75" customHeight="1" x14ac:dyDescent="0.3">
      <c r="A98" s="1031"/>
      <c r="B98" s="1063"/>
      <c r="C98" s="1033"/>
      <c r="D98" s="1034"/>
      <c r="E98" s="916"/>
      <c r="F98" s="888"/>
      <c r="G98" s="916"/>
      <c r="H98" s="1065"/>
      <c r="I98" s="790">
        <f t="shared" si="26"/>
        <v>0</v>
      </c>
      <c r="J98" s="771"/>
      <c r="K98" s="775"/>
      <c r="L98" s="667"/>
      <c r="M98" s="764"/>
      <c r="N98" s="769">
        <f>I98-L98-M98</f>
        <v>0</v>
      </c>
      <c r="O98" s="666"/>
    </row>
    <row r="99" spans="1:15" ht="18.75" customHeight="1" x14ac:dyDescent="0.3">
      <c r="A99" s="742"/>
      <c r="B99" s="519"/>
      <c r="C99" s="482"/>
      <c r="D99" s="149" t="s">
        <v>233</v>
      </c>
      <c r="E99" s="150">
        <f>SUM(E87:E98)</f>
        <v>0</v>
      </c>
      <c r="F99" s="150">
        <f>SUM(F87:F98)</f>
        <v>0</v>
      </c>
      <c r="G99" s="150">
        <f>SUM(G87:G98)</f>
        <v>0</v>
      </c>
      <c r="H99" s="150">
        <f>SUM(H87:H98)</f>
        <v>0</v>
      </c>
      <c r="I99" s="791">
        <f t="shared" si="12"/>
        <v>0</v>
      </c>
      <c r="J99" s="798"/>
      <c r="K99" s="666"/>
      <c r="L99" s="667"/>
      <c r="M99" s="764"/>
      <c r="N99" s="769"/>
      <c r="O99" s="667"/>
    </row>
    <row r="100" spans="1:15" ht="18.75" customHeight="1" x14ac:dyDescent="0.3">
      <c r="A100" s="742"/>
      <c r="B100" s="519"/>
      <c r="C100" s="482"/>
      <c r="D100" s="149" t="s">
        <v>234</v>
      </c>
      <c r="E100" s="150">
        <f>SUM(E85+E99)</f>
        <v>155700</v>
      </c>
      <c r="F100" s="150">
        <f>SUM(F85+F99)</f>
        <v>20215</v>
      </c>
      <c r="G100" s="150">
        <f>SUM(G85+G99)</f>
        <v>395630</v>
      </c>
      <c r="H100" s="150">
        <f>SUM(H85+H99)</f>
        <v>0</v>
      </c>
      <c r="I100" s="786">
        <f t="shared" si="12"/>
        <v>571545</v>
      </c>
      <c r="J100" s="798"/>
      <c r="K100" s="666"/>
      <c r="L100" s="667"/>
      <c r="M100" s="764"/>
      <c r="N100" s="769"/>
      <c r="O100" s="667"/>
    </row>
    <row r="101" spans="1:15" ht="18.75" customHeight="1" x14ac:dyDescent="0.3">
      <c r="A101" s="743"/>
      <c r="B101" s="520"/>
      <c r="C101" s="484"/>
      <c r="D101" s="152" t="s">
        <v>235</v>
      </c>
      <c r="E101" s="153">
        <f>SUM(E86-E99)</f>
        <v>9300</v>
      </c>
      <c r="F101" s="153">
        <f>SUM(F86-F99)</f>
        <v>244985</v>
      </c>
      <c r="G101" s="153">
        <f>SUM(G86-G99)</f>
        <v>-153630</v>
      </c>
      <c r="H101" s="153">
        <f>SUM(H86-H99)</f>
        <v>1220400</v>
      </c>
      <c r="I101" s="787">
        <f t="shared" si="12"/>
        <v>1321055</v>
      </c>
      <c r="J101" s="798"/>
      <c r="K101" s="666"/>
      <c r="L101" s="667"/>
      <c r="M101" s="764"/>
      <c r="N101" s="769"/>
      <c r="O101" s="667"/>
    </row>
    <row r="102" spans="1:15" ht="18.75" customHeight="1" x14ac:dyDescent="0.3">
      <c r="A102" s="1050" t="s">
        <v>236</v>
      </c>
      <c r="B102" s="1072"/>
      <c r="C102" s="1051"/>
      <c r="D102" s="1073"/>
      <c r="E102" s="1052"/>
      <c r="F102" s="1052"/>
      <c r="G102" s="1052"/>
      <c r="H102" s="1052"/>
      <c r="I102" s="1036"/>
      <c r="J102" s="771"/>
      <c r="K102" s="666"/>
      <c r="L102" s="667"/>
      <c r="M102" s="764"/>
      <c r="N102" s="769">
        <f t="shared" ref="N102" si="28">I102-L102-M102</f>
        <v>0</v>
      </c>
      <c r="O102" s="666"/>
    </row>
    <row r="103" spans="1:15" ht="18.75" customHeight="1" x14ac:dyDescent="0.3">
      <c r="A103" s="1069"/>
      <c r="B103" s="2"/>
      <c r="C103" s="955"/>
      <c r="D103" s="41"/>
      <c r="E103" s="684"/>
      <c r="F103" s="37"/>
      <c r="G103" s="684"/>
      <c r="H103" s="1055"/>
      <c r="I103" s="1030">
        <f>SUM(E103:H103)</f>
        <v>0</v>
      </c>
      <c r="J103" s="771"/>
      <c r="K103" s="666"/>
      <c r="L103" s="667"/>
      <c r="M103" s="764"/>
      <c r="N103" s="769">
        <f>I103-L103-M103</f>
        <v>0</v>
      </c>
      <c r="O103" s="666"/>
    </row>
    <row r="104" spans="1:15" ht="18.75" x14ac:dyDescent="0.3">
      <c r="A104" s="1070"/>
      <c r="B104" s="518"/>
      <c r="C104" s="1071"/>
      <c r="D104" s="124"/>
      <c r="E104" s="1057"/>
      <c r="F104" s="43"/>
      <c r="G104" s="1057"/>
      <c r="H104" s="1059"/>
      <c r="I104" s="1030">
        <f t="shared" ref="I104:I113" si="29">SUM(E104:H104)</f>
        <v>0</v>
      </c>
      <c r="J104" s="771"/>
      <c r="K104" s="666"/>
      <c r="L104" s="667"/>
      <c r="M104" s="764"/>
      <c r="N104" s="769">
        <f t="shared" ref="N104:N112" si="30">I104-L104-M104</f>
        <v>0</v>
      </c>
      <c r="O104" s="667"/>
    </row>
    <row r="105" spans="1:15" ht="18.75" customHeight="1" x14ac:dyDescent="0.3">
      <c r="A105" s="957"/>
      <c r="B105" s="2"/>
      <c r="C105" s="955"/>
      <c r="D105" s="34"/>
      <c r="E105" s="684"/>
      <c r="F105" s="37"/>
      <c r="G105" s="684"/>
      <c r="H105" s="1055"/>
      <c r="I105" s="1030">
        <f t="shared" si="29"/>
        <v>0</v>
      </c>
      <c r="J105" s="771"/>
      <c r="K105" s="667"/>
      <c r="L105" s="667"/>
      <c r="M105" s="764"/>
      <c r="N105" s="769">
        <f t="shared" si="30"/>
        <v>0</v>
      </c>
      <c r="O105" s="667"/>
    </row>
    <row r="106" spans="1:15" ht="18.75" customHeight="1" x14ac:dyDescent="0.3">
      <c r="A106" s="957"/>
      <c r="B106" s="171"/>
      <c r="C106" s="955"/>
      <c r="D106" s="34"/>
      <c r="E106" s="684"/>
      <c r="F106" s="37"/>
      <c r="G106" s="684"/>
      <c r="H106" s="1055"/>
      <c r="I106" s="1030">
        <f t="shared" si="29"/>
        <v>0</v>
      </c>
      <c r="J106" s="771"/>
      <c r="K106" s="772"/>
      <c r="L106" s="667"/>
      <c r="M106" s="764"/>
      <c r="N106" s="769">
        <f t="shared" si="30"/>
        <v>0</v>
      </c>
      <c r="O106" s="666"/>
    </row>
    <row r="107" spans="1:15" ht="18.75" customHeight="1" x14ac:dyDescent="0.3">
      <c r="A107" s="957"/>
      <c r="B107" s="2"/>
      <c r="C107" s="955"/>
      <c r="D107" s="34"/>
      <c r="E107" s="684"/>
      <c r="F107" s="37"/>
      <c r="G107" s="684"/>
      <c r="H107" s="1055"/>
      <c r="I107" s="1030">
        <f t="shared" si="29"/>
        <v>0</v>
      </c>
      <c r="J107" s="771"/>
      <c r="K107" s="667"/>
      <c r="L107" s="667"/>
      <c r="M107" s="773"/>
      <c r="N107" s="769">
        <f t="shared" si="30"/>
        <v>0</v>
      </c>
      <c r="O107" s="666"/>
    </row>
    <row r="108" spans="1:15" ht="18.75" customHeight="1" x14ac:dyDescent="0.3">
      <c r="A108" s="957"/>
      <c r="B108" s="2"/>
      <c r="C108" s="955"/>
      <c r="D108" s="34"/>
      <c r="E108" s="684"/>
      <c r="F108" s="37"/>
      <c r="G108" s="684"/>
      <c r="H108" s="1055"/>
      <c r="I108" s="1030">
        <f t="shared" si="29"/>
        <v>0</v>
      </c>
      <c r="J108" s="771"/>
      <c r="K108" s="774"/>
      <c r="L108" s="667"/>
      <c r="M108" s="764"/>
      <c r="N108" s="769">
        <f t="shared" si="30"/>
        <v>0</v>
      </c>
      <c r="O108" s="666"/>
    </row>
    <row r="109" spans="1:15" ht="18.75" x14ac:dyDescent="0.3">
      <c r="A109" s="957"/>
      <c r="B109" s="2"/>
      <c r="C109" s="955"/>
      <c r="D109" s="34"/>
      <c r="E109" s="684"/>
      <c r="F109" s="37"/>
      <c r="G109" s="684"/>
      <c r="H109" s="1055"/>
      <c r="I109" s="1030">
        <f t="shared" si="29"/>
        <v>0</v>
      </c>
      <c r="J109" s="771"/>
      <c r="K109" s="774"/>
      <c r="L109" s="667"/>
      <c r="M109" s="764"/>
      <c r="N109" s="769">
        <f t="shared" si="30"/>
        <v>0</v>
      </c>
      <c r="O109" s="666"/>
    </row>
    <row r="110" spans="1:15" ht="18.75" x14ac:dyDescent="0.3">
      <c r="A110" s="957"/>
      <c r="B110" s="2"/>
      <c r="C110" s="955"/>
      <c r="D110" s="34"/>
      <c r="E110" s="684"/>
      <c r="F110" s="37"/>
      <c r="G110" s="684"/>
      <c r="H110" s="1055"/>
      <c r="I110" s="1030">
        <f t="shared" si="29"/>
        <v>0</v>
      </c>
      <c r="J110" s="771"/>
      <c r="K110" s="666"/>
      <c r="L110" s="667"/>
      <c r="M110" s="764"/>
      <c r="N110" s="769">
        <f t="shared" si="30"/>
        <v>0</v>
      </c>
      <c r="O110" s="666"/>
    </row>
    <row r="111" spans="1:15" ht="18.75" customHeight="1" x14ac:dyDescent="0.3">
      <c r="A111" s="1061"/>
      <c r="B111" s="1062"/>
      <c r="C111" s="955"/>
      <c r="D111" s="40"/>
      <c r="E111" s="684"/>
      <c r="F111" s="684"/>
      <c r="G111" s="43"/>
      <c r="H111" s="1059"/>
      <c r="I111" s="1030">
        <f t="shared" si="29"/>
        <v>0</v>
      </c>
      <c r="J111" s="771"/>
      <c r="K111" s="775"/>
      <c r="L111" s="667"/>
      <c r="M111" s="764"/>
      <c r="N111" s="769">
        <f t="shared" si="30"/>
        <v>0</v>
      </c>
      <c r="O111" s="666"/>
    </row>
    <row r="112" spans="1:15" ht="18.75" customHeight="1" x14ac:dyDescent="0.3">
      <c r="A112" s="957"/>
      <c r="B112" s="2"/>
      <c r="C112" s="955"/>
      <c r="D112" s="41"/>
      <c r="E112" s="684"/>
      <c r="F112" s="37"/>
      <c r="G112" s="684"/>
      <c r="H112" s="1055"/>
      <c r="I112" s="1030">
        <f t="shared" si="29"/>
        <v>0</v>
      </c>
      <c r="J112" s="771"/>
      <c r="K112" s="775"/>
      <c r="L112" s="667"/>
      <c r="M112" s="764"/>
      <c r="N112" s="769">
        <f t="shared" si="30"/>
        <v>0</v>
      </c>
      <c r="O112" s="666"/>
    </row>
    <row r="113" spans="1:15" ht="18.75" customHeight="1" x14ac:dyDescent="0.3">
      <c r="A113" s="1031"/>
      <c r="B113" s="1063"/>
      <c r="C113" s="1033"/>
      <c r="D113" s="1034"/>
      <c r="E113" s="916"/>
      <c r="F113" s="888"/>
      <c r="G113" s="916"/>
      <c r="H113" s="1065"/>
      <c r="I113" s="790">
        <f t="shared" si="29"/>
        <v>0</v>
      </c>
      <c r="J113" s="771"/>
      <c r="K113" s="775"/>
      <c r="L113" s="667"/>
      <c r="M113" s="764"/>
      <c r="N113" s="769">
        <f>I113-L113-M113</f>
        <v>0</v>
      </c>
      <c r="O113" s="666"/>
    </row>
    <row r="114" spans="1:15" ht="18.75" customHeight="1" x14ac:dyDescent="0.3">
      <c r="A114" s="742"/>
      <c r="B114" s="519"/>
      <c r="C114" s="482"/>
      <c r="D114" s="149" t="s">
        <v>237</v>
      </c>
      <c r="E114" s="150">
        <f>SUM(E102:E113)</f>
        <v>0</v>
      </c>
      <c r="F114" s="150">
        <f>SUM(F102:F113)</f>
        <v>0</v>
      </c>
      <c r="G114" s="150">
        <f>SUM(G102:G113)</f>
        <v>0</v>
      </c>
      <c r="H114" s="150">
        <f>SUM(H102:H113)</f>
        <v>0</v>
      </c>
      <c r="I114" s="786">
        <f t="shared" si="12"/>
        <v>0</v>
      </c>
      <c r="J114" s="798"/>
      <c r="K114" s="666"/>
      <c r="L114" s="667"/>
      <c r="M114" s="764"/>
      <c r="N114" s="769"/>
      <c r="O114" s="667"/>
    </row>
    <row r="115" spans="1:15" ht="18.75" customHeight="1" x14ac:dyDescent="0.3">
      <c r="A115" s="742"/>
      <c r="B115" s="519"/>
      <c r="C115" s="482"/>
      <c r="D115" s="149" t="s">
        <v>238</v>
      </c>
      <c r="E115" s="150">
        <f>SUM(E100+E114)</f>
        <v>155700</v>
      </c>
      <c r="F115" s="150">
        <f>SUM(F100+F114)</f>
        <v>20215</v>
      </c>
      <c r="G115" s="150">
        <f>SUM(G100+G114)</f>
        <v>395630</v>
      </c>
      <c r="H115" s="150">
        <f>SUM(H100+H114)</f>
        <v>0</v>
      </c>
      <c r="I115" s="786">
        <f t="shared" si="12"/>
        <v>571545</v>
      </c>
      <c r="J115" s="798"/>
      <c r="K115" s="666"/>
      <c r="L115" s="667"/>
      <c r="M115" s="764"/>
      <c r="N115" s="769"/>
      <c r="O115" s="667"/>
    </row>
    <row r="116" spans="1:15" ht="18.75" customHeight="1" x14ac:dyDescent="0.3">
      <c r="A116" s="743"/>
      <c r="B116" s="520"/>
      <c r="C116" s="484"/>
      <c r="D116" s="152" t="s">
        <v>239</v>
      </c>
      <c r="E116" s="153">
        <f>SUM(E101-E114)+117400</f>
        <v>126700</v>
      </c>
      <c r="F116" s="153">
        <f>SUM(F101-F114)+177000</f>
        <v>421985</v>
      </c>
      <c r="G116" s="153">
        <f>SUM(G101-G114)+157900</f>
        <v>4270</v>
      </c>
      <c r="H116" s="153">
        <f>SUM(H101-H114)+813600</f>
        <v>2034000</v>
      </c>
      <c r="I116" s="787">
        <f t="shared" si="12"/>
        <v>2586955</v>
      </c>
      <c r="J116" s="798"/>
      <c r="K116" s="666"/>
      <c r="L116" s="667"/>
      <c r="M116" s="764"/>
      <c r="N116" s="769"/>
      <c r="O116" s="667"/>
    </row>
    <row r="117" spans="1:15" ht="18.75" customHeight="1" x14ac:dyDescent="0.3">
      <c r="A117" s="1050" t="s">
        <v>240</v>
      </c>
      <c r="B117" s="1072"/>
      <c r="C117" s="1051"/>
      <c r="D117" s="1073"/>
      <c r="E117" s="1052"/>
      <c r="F117" s="1052"/>
      <c r="G117" s="1052"/>
      <c r="H117" s="1052"/>
      <c r="I117" s="1036">
        <f t="shared" si="12"/>
        <v>0</v>
      </c>
      <c r="J117" s="771"/>
      <c r="K117" s="666"/>
      <c r="L117" s="667"/>
      <c r="M117" s="764"/>
      <c r="N117" s="769">
        <f t="shared" ref="N117" si="31">I117-L117-M117</f>
        <v>0</v>
      </c>
      <c r="O117" s="666"/>
    </row>
    <row r="118" spans="1:15" ht="18.75" customHeight="1" x14ac:dyDescent="0.3">
      <c r="A118" s="1069"/>
      <c r="B118" s="2"/>
      <c r="C118" s="955"/>
      <c r="D118" s="41"/>
      <c r="E118" s="684"/>
      <c r="F118" s="37"/>
      <c r="G118" s="684"/>
      <c r="H118" s="1055"/>
      <c r="I118" s="1030">
        <f>SUM(E118:H118)</f>
        <v>0</v>
      </c>
      <c r="J118" s="771"/>
      <c r="K118" s="666"/>
      <c r="L118" s="667"/>
      <c r="M118" s="764"/>
      <c r="N118" s="769">
        <f>I118-L118-M118</f>
        <v>0</v>
      </c>
      <c r="O118" s="666"/>
    </row>
    <row r="119" spans="1:15" ht="18.75" x14ac:dyDescent="0.3">
      <c r="A119" s="1070"/>
      <c r="B119" s="518"/>
      <c r="C119" s="1071"/>
      <c r="D119" s="124"/>
      <c r="E119" s="1057"/>
      <c r="F119" s="43"/>
      <c r="G119" s="1057"/>
      <c r="H119" s="1059"/>
      <c r="I119" s="1030">
        <f t="shared" ref="I119:I128" si="32">SUM(E119:H119)</f>
        <v>0</v>
      </c>
      <c r="J119" s="771"/>
      <c r="K119" s="666"/>
      <c r="L119" s="667"/>
      <c r="M119" s="764"/>
      <c r="N119" s="769">
        <f t="shared" ref="N119:N127" si="33">I119-L119-M119</f>
        <v>0</v>
      </c>
      <c r="O119" s="667"/>
    </row>
    <row r="120" spans="1:15" ht="18.75" customHeight="1" x14ac:dyDescent="0.3">
      <c r="A120" s="957"/>
      <c r="B120" s="2"/>
      <c r="C120" s="955"/>
      <c r="D120" s="34"/>
      <c r="E120" s="684"/>
      <c r="F120" s="37"/>
      <c r="G120" s="684"/>
      <c r="H120" s="1055"/>
      <c r="I120" s="1030">
        <f t="shared" si="32"/>
        <v>0</v>
      </c>
      <c r="J120" s="771"/>
      <c r="K120" s="667"/>
      <c r="L120" s="667"/>
      <c r="M120" s="764"/>
      <c r="N120" s="769">
        <f t="shared" si="33"/>
        <v>0</v>
      </c>
      <c r="O120" s="667"/>
    </row>
    <row r="121" spans="1:15" ht="18.75" customHeight="1" x14ac:dyDescent="0.3">
      <c r="A121" s="957"/>
      <c r="B121" s="171"/>
      <c r="C121" s="955"/>
      <c r="D121" s="34"/>
      <c r="E121" s="684"/>
      <c r="F121" s="37"/>
      <c r="G121" s="684"/>
      <c r="H121" s="1055"/>
      <c r="I121" s="1030">
        <f t="shared" si="32"/>
        <v>0</v>
      </c>
      <c r="J121" s="771"/>
      <c r="K121" s="772"/>
      <c r="L121" s="667"/>
      <c r="M121" s="764"/>
      <c r="N121" s="769">
        <f t="shared" si="33"/>
        <v>0</v>
      </c>
      <c r="O121" s="666"/>
    </row>
    <row r="122" spans="1:15" ht="18.75" customHeight="1" x14ac:dyDescent="0.3">
      <c r="A122" s="957"/>
      <c r="B122" s="2"/>
      <c r="C122" s="955"/>
      <c r="D122" s="34"/>
      <c r="E122" s="684"/>
      <c r="F122" s="37"/>
      <c r="G122" s="684"/>
      <c r="H122" s="1055"/>
      <c r="I122" s="1030">
        <f t="shared" si="32"/>
        <v>0</v>
      </c>
      <c r="J122" s="771"/>
      <c r="K122" s="667"/>
      <c r="L122" s="667"/>
      <c r="M122" s="773"/>
      <c r="N122" s="769">
        <f t="shared" si="33"/>
        <v>0</v>
      </c>
      <c r="O122" s="666"/>
    </row>
    <row r="123" spans="1:15" ht="18.75" customHeight="1" x14ac:dyDescent="0.3">
      <c r="A123" s="957"/>
      <c r="B123" s="2"/>
      <c r="C123" s="955"/>
      <c r="D123" s="34"/>
      <c r="E123" s="684"/>
      <c r="F123" s="37"/>
      <c r="G123" s="684"/>
      <c r="H123" s="1055"/>
      <c r="I123" s="1030">
        <f t="shared" si="32"/>
        <v>0</v>
      </c>
      <c r="J123" s="771"/>
      <c r="K123" s="774"/>
      <c r="L123" s="667"/>
      <c r="M123" s="764"/>
      <c r="N123" s="769">
        <f t="shared" si="33"/>
        <v>0</v>
      </c>
      <c r="O123" s="666"/>
    </row>
    <row r="124" spans="1:15" ht="18.75" x14ac:dyDescent="0.3">
      <c r="A124" s="957"/>
      <c r="B124" s="2"/>
      <c r="C124" s="955"/>
      <c r="D124" s="34"/>
      <c r="E124" s="684"/>
      <c r="F124" s="37"/>
      <c r="G124" s="684"/>
      <c r="H124" s="1055"/>
      <c r="I124" s="1030">
        <f t="shared" si="32"/>
        <v>0</v>
      </c>
      <c r="J124" s="771"/>
      <c r="K124" s="774"/>
      <c r="L124" s="667"/>
      <c r="M124" s="764"/>
      <c r="N124" s="769">
        <f t="shared" si="33"/>
        <v>0</v>
      </c>
      <c r="O124" s="666"/>
    </row>
    <row r="125" spans="1:15" ht="18.75" x14ac:dyDescent="0.3">
      <c r="A125" s="957"/>
      <c r="B125" s="2"/>
      <c r="C125" s="955"/>
      <c r="D125" s="34"/>
      <c r="E125" s="684"/>
      <c r="F125" s="37"/>
      <c r="G125" s="684"/>
      <c r="H125" s="1055"/>
      <c r="I125" s="1030">
        <f t="shared" si="32"/>
        <v>0</v>
      </c>
      <c r="J125" s="771"/>
      <c r="K125" s="666"/>
      <c r="L125" s="667"/>
      <c r="M125" s="764"/>
      <c r="N125" s="769">
        <f t="shared" si="33"/>
        <v>0</v>
      </c>
      <c r="O125" s="666"/>
    </row>
    <row r="126" spans="1:15" ht="18.75" customHeight="1" x14ac:dyDescent="0.3">
      <c r="A126" s="1061"/>
      <c r="B126" s="1062"/>
      <c r="C126" s="955"/>
      <c r="D126" s="40"/>
      <c r="E126" s="684"/>
      <c r="F126" s="684"/>
      <c r="G126" s="43"/>
      <c r="H126" s="1059"/>
      <c r="I126" s="1030">
        <f t="shared" si="32"/>
        <v>0</v>
      </c>
      <c r="J126" s="771"/>
      <c r="K126" s="775"/>
      <c r="L126" s="667"/>
      <c r="M126" s="764"/>
      <c r="N126" s="769">
        <f t="shared" si="33"/>
        <v>0</v>
      </c>
      <c r="O126" s="666"/>
    </row>
    <row r="127" spans="1:15" ht="18.75" customHeight="1" x14ac:dyDescent="0.3">
      <c r="A127" s="957"/>
      <c r="B127" s="2"/>
      <c r="C127" s="955"/>
      <c r="D127" s="41"/>
      <c r="E127" s="684"/>
      <c r="F127" s="37"/>
      <c r="G127" s="684"/>
      <c r="H127" s="1055"/>
      <c r="I127" s="1030">
        <f t="shared" si="32"/>
        <v>0</v>
      </c>
      <c r="J127" s="771"/>
      <c r="K127" s="775"/>
      <c r="L127" s="667"/>
      <c r="M127" s="764"/>
      <c r="N127" s="769">
        <f t="shared" si="33"/>
        <v>0</v>
      </c>
      <c r="O127" s="666"/>
    </row>
    <row r="128" spans="1:15" ht="18.75" customHeight="1" x14ac:dyDescent="0.3">
      <c r="A128" s="1031"/>
      <c r="B128" s="1063"/>
      <c r="C128" s="1033"/>
      <c r="D128" s="1034"/>
      <c r="E128" s="916"/>
      <c r="F128" s="888"/>
      <c r="G128" s="916"/>
      <c r="H128" s="1065"/>
      <c r="I128" s="790">
        <f t="shared" si="32"/>
        <v>0</v>
      </c>
      <c r="J128" s="771"/>
      <c r="K128" s="775"/>
      <c r="L128" s="667"/>
      <c r="M128" s="764"/>
      <c r="N128" s="769">
        <f>I128-L128-M128</f>
        <v>0</v>
      </c>
      <c r="O128" s="666"/>
    </row>
    <row r="129" spans="1:15" ht="18.75" customHeight="1" x14ac:dyDescent="0.3">
      <c r="A129" s="742"/>
      <c r="B129" s="519"/>
      <c r="C129" s="482"/>
      <c r="D129" s="149" t="s">
        <v>241</v>
      </c>
      <c r="E129" s="150">
        <f>SUM(E117:E128)</f>
        <v>0</v>
      </c>
      <c r="F129" s="150">
        <f>SUM(F117:F128)</f>
        <v>0</v>
      </c>
      <c r="G129" s="150">
        <f>SUM(G117:G128)</f>
        <v>0</v>
      </c>
      <c r="H129" s="150">
        <f>SUM(H117:H128)</f>
        <v>0</v>
      </c>
      <c r="I129" s="791">
        <f t="shared" si="12"/>
        <v>0</v>
      </c>
      <c r="J129" s="798"/>
      <c r="K129" s="666"/>
      <c r="L129" s="667"/>
      <c r="M129" s="764"/>
      <c r="N129" s="769"/>
      <c r="O129" s="667"/>
    </row>
    <row r="130" spans="1:15" ht="18.75" customHeight="1" x14ac:dyDescent="0.3">
      <c r="A130" s="742"/>
      <c r="B130" s="519"/>
      <c r="C130" s="482"/>
      <c r="D130" s="149" t="s">
        <v>242</v>
      </c>
      <c r="E130" s="150">
        <f>SUM(E115+E129)</f>
        <v>155700</v>
      </c>
      <c r="F130" s="150">
        <f>SUM(F115+F129)</f>
        <v>20215</v>
      </c>
      <c r="G130" s="150">
        <f>SUM(G115+G129)</f>
        <v>395630</v>
      </c>
      <c r="H130" s="150">
        <f>SUM(H115+H129)</f>
        <v>0</v>
      </c>
      <c r="I130" s="786">
        <f t="shared" si="12"/>
        <v>571545</v>
      </c>
      <c r="J130" s="798"/>
      <c r="K130" s="666"/>
      <c r="L130" s="667"/>
      <c r="M130" s="764"/>
      <c r="N130" s="769"/>
      <c r="O130" s="667"/>
    </row>
    <row r="131" spans="1:15" ht="18.75" customHeight="1" x14ac:dyDescent="0.3">
      <c r="A131" s="743"/>
      <c r="B131" s="520"/>
      <c r="C131" s="484"/>
      <c r="D131" s="152" t="s">
        <v>243</v>
      </c>
      <c r="E131" s="153">
        <f>SUM(E116-E129)</f>
        <v>126700</v>
      </c>
      <c r="F131" s="153">
        <f>SUM(F116-F129)</f>
        <v>421985</v>
      </c>
      <c r="G131" s="153">
        <f>SUM(G116-G129)</f>
        <v>4270</v>
      </c>
      <c r="H131" s="153">
        <f>SUM(H116-H129)</f>
        <v>2034000</v>
      </c>
      <c r="I131" s="787">
        <f t="shared" si="12"/>
        <v>2586955</v>
      </c>
      <c r="J131" s="798"/>
      <c r="K131" s="666"/>
      <c r="L131" s="667"/>
      <c r="M131" s="764"/>
      <c r="N131" s="769"/>
      <c r="O131" s="667"/>
    </row>
    <row r="132" spans="1:15" ht="18.75" customHeight="1" x14ac:dyDescent="0.3">
      <c r="A132" s="1050" t="s">
        <v>244</v>
      </c>
      <c r="B132" s="1072"/>
      <c r="C132" s="1051"/>
      <c r="D132" s="1073"/>
      <c r="E132" s="1052"/>
      <c r="F132" s="1052"/>
      <c r="G132" s="1052"/>
      <c r="H132" s="1052"/>
      <c r="I132" s="1036"/>
      <c r="J132" s="771"/>
      <c r="K132" s="666"/>
      <c r="L132" s="667"/>
      <c r="M132" s="764"/>
      <c r="N132" s="769">
        <f>I132-L132-M132</f>
        <v>0</v>
      </c>
      <c r="O132" s="666"/>
    </row>
    <row r="133" spans="1:15" ht="18.75" x14ac:dyDescent="0.3">
      <c r="A133" s="1069"/>
      <c r="B133" s="2"/>
      <c r="C133" s="955"/>
      <c r="D133" s="41"/>
      <c r="E133" s="684"/>
      <c r="F133" s="37"/>
      <c r="G133" s="684"/>
      <c r="H133" s="1055"/>
      <c r="I133" s="1030">
        <f>SUM(E133:H133)</f>
        <v>0</v>
      </c>
      <c r="J133" s="771"/>
      <c r="K133" s="666"/>
      <c r="L133" s="667"/>
      <c r="M133" s="764"/>
      <c r="N133" s="769">
        <f>I133-L133-M133</f>
        <v>0</v>
      </c>
      <c r="O133" s="666"/>
    </row>
    <row r="134" spans="1:15" ht="18.75" x14ac:dyDescent="0.3">
      <c r="A134" s="1070"/>
      <c r="B134" s="518"/>
      <c r="C134" s="1071"/>
      <c r="D134" s="124"/>
      <c r="E134" s="1057"/>
      <c r="F134" s="43"/>
      <c r="G134" s="1057"/>
      <c r="H134" s="1059"/>
      <c r="I134" s="1030">
        <f t="shared" ref="I134:I143" si="34">SUM(E134:H134)</f>
        <v>0</v>
      </c>
      <c r="J134" s="771"/>
      <c r="K134" s="666"/>
      <c r="L134" s="667"/>
      <c r="M134" s="764"/>
      <c r="N134" s="769">
        <f t="shared" ref="N134:N142" si="35">I134-L134-M134</f>
        <v>0</v>
      </c>
      <c r="O134" s="667"/>
    </row>
    <row r="135" spans="1:15" ht="18.75" customHeight="1" x14ac:dyDescent="0.3">
      <c r="A135" s="957"/>
      <c r="B135" s="2"/>
      <c r="C135" s="955"/>
      <c r="D135" s="34"/>
      <c r="E135" s="684"/>
      <c r="F135" s="37"/>
      <c r="G135" s="684"/>
      <c r="H135" s="1055"/>
      <c r="I135" s="1030">
        <f t="shared" si="34"/>
        <v>0</v>
      </c>
      <c r="J135" s="771"/>
      <c r="K135" s="667"/>
      <c r="L135" s="667"/>
      <c r="M135" s="764"/>
      <c r="N135" s="769">
        <f t="shared" si="35"/>
        <v>0</v>
      </c>
      <c r="O135" s="667"/>
    </row>
    <row r="136" spans="1:15" ht="18.75" customHeight="1" x14ac:dyDescent="0.3">
      <c r="A136" s="957"/>
      <c r="B136" s="171"/>
      <c r="C136" s="955"/>
      <c r="D136" s="34"/>
      <c r="E136" s="684"/>
      <c r="F136" s="37"/>
      <c r="G136" s="684"/>
      <c r="H136" s="1055"/>
      <c r="I136" s="1030">
        <f t="shared" si="34"/>
        <v>0</v>
      </c>
      <c r="J136" s="771"/>
      <c r="K136" s="772"/>
      <c r="L136" s="667"/>
      <c r="M136" s="764"/>
      <c r="N136" s="769">
        <f t="shared" si="35"/>
        <v>0</v>
      </c>
      <c r="O136" s="666"/>
    </row>
    <row r="137" spans="1:15" ht="18.75" customHeight="1" x14ac:dyDescent="0.3">
      <c r="A137" s="957"/>
      <c r="B137" s="2"/>
      <c r="C137" s="955"/>
      <c r="D137" s="34"/>
      <c r="E137" s="684"/>
      <c r="F137" s="37"/>
      <c r="G137" s="684"/>
      <c r="H137" s="1055"/>
      <c r="I137" s="1030">
        <f t="shared" si="34"/>
        <v>0</v>
      </c>
      <c r="J137" s="771"/>
      <c r="K137" s="667"/>
      <c r="L137" s="667"/>
      <c r="M137" s="773"/>
      <c r="N137" s="769">
        <f t="shared" si="35"/>
        <v>0</v>
      </c>
      <c r="O137" s="666"/>
    </row>
    <row r="138" spans="1:15" ht="18.75" customHeight="1" x14ac:dyDescent="0.3">
      <c r="A138" s="957"/>
      <c r="B138" s="2"/>
      <c r="C138" s="955"/>
      <c r="D138" s="34"/>
      <c r="E138" s="684"/>
      <c r="F138" s="37"/>
      <c r="G138" s="684"/>
      <c r="H138" s="1055"/>
      <c r="I138" s="1030">
        <f t="shared" si="34"/>
        <v>0</v>
      </c>
      <c r="J138" s="771"/>
      <c r="K138" s="774"/>
      <c r="L138" s="667"/>
      <c r="M138" s="764"/>
      <c r="N138" s="769">
        <f t="shared" si="35"/>
        <v>0</v>
      </c>
      <c r="O138" s="666"/>
    </row>
    <row r="139" spans="1:15" ht="18.75" customHeight="1" x14ac:dyDescent="0.3">
      <c r="A139" s="957"/>
      <c r="B139" s="2"/>
      <c r="C139" s="955"/>
      <c r="D139" s="34"/>
      <c r="E139" s="684"/>
      <c r="F139" s="37"/>
      <c r="G139" s="684"/>
      <c r="H139" s="1055"/>
      <c r="I139" s="1030">
        <f t="shared" si="34"/>
        <v>0</v>
      </c>
      <c r="J139" s="771"/>
      <c r="K139" s="774"/>
      <c r="L139" s="667"/>
      <c r="M139" s="764"/>
      <c r="N139" s="769">
        <f t="shared" si="35"/>
        <v>0</v>
      </c>
      <c r="O139" s="666"/>
    </row>
    <row r="140" spans="1:15" ht="18.75" customHeight="1" x14ac:dyDescent="0.3">
      <c r="A140" s="957"/>
      <c r="B140" s="2"/>
      <c r="C140" s="955"/>
      <c r="D140" s="34"/>
      <c r="E140" s="684"/>
      <c r="F140" s="37"/>
      <c r="G140" s="684"/>
      <c r="H140" s="1055"/>
      <c r="I140" s="1030">
        <f t="shared" si="34"/>
        <v>0</v>
      </c>
      <c r="J140" s="771"/>
      <c r="K140" s="666"/>
      <c r="L140" s="667"/>
      <c r="M140" s="764"/>
      <c r="N140" s="769">
        <f t="shared" si="35"/>
        <v>0</v>
      </c>
      <c r="O140" s="666"/>
    </row>
    <row r="141" spans="1:15" ht="18.75" customHeight="1" x14ac:dyDescent="0.3">
      <c r="A141" s="1061"/>
      <c r="B141" s="1062"/>
      <c r="C141" s="955"/>
      <c r="D141" s="40"/>
      <c r="E141" s="684"/>
      <c r="F141" s="684"/>
      <c r="G141" s="43"/>
      <c r="H141" s="1059"/>
      <c r="I141" s="1030">
        <f t="shared" si="34"/>
        <v>0</v>
      </c>
      <c r="J141" s="771"/>
      <c r="K141" s="775"/>
      <c r="L141" s="667"/>
      <c r="M141" s="764"/>
      <c r="N141" s="769">
        <f t="shared" si="35"/>
        <v>0</v>
      </c>
      <c r="O141" s="666"/>
    </row>
    <row r="142" spans="1:15" ht="18.75" customHeight="1" x14ac:dyDescent="0.3">
      <c r="A142" s="957"/>
      <c r="B142" s="2"/>
      <c r="C142" s="955"/>
      <c r="D142" s="41"/>
      <c r="E142" s="684"/>
      <c r="F142" s="37"/>
      <c r="G142" s="684"/>
      <c r="H142" s="1055"/>
      <c r="I142" s="1030">
        <f t="shared" si="34"/>
        <v>0</v>
      </c>
      <c r="J142" s="771"/>
      <c r="K142" s="775"/>
      <c r="L142" s="667"/>
      <c r="M142" s="764"/>
      <c r="N142" s="769">
        <f t="shared" si="35"/>
        <v>0</v>
      </c>
      <c r="O142" s="666"/>
    </row>
    <row r="143" spans="1:15" ht="18.75" customHeight="1" x14ac:dyDescent="0.3">
      <c r="A143" s="1031"/>
      <c r="B143" s="1063"/>
      <c r="C143" s="1033"/>
      <c r="D143" s="1034"/>
      <c r="E143" s="916"/>
      <c r="F143" s="888"/>
      <c r="G143" s="916"/>
      <c r="H143" s="1065"/>
      <c r="I143" s="790">
        <f t="shared" si="34"/>
        <v>0</v>
      </c>
      <c r="J143" s="771"/>
      <c r="K143" s="775"/>
      <c r="L143" s="667"/>
      <c r="M143" s="764"/>
      <c r="N143" s="769">
        <f>I143-L143-M143</f>
        <v>0</v>
      </c>
      <c r="O143" s="666"/>
    </row>
    <row r="144" spans="1:15" ht="18.75" customHeight="1" x14ac:dyDescent="0.3">
      <c r="A144" s="742"/>
      <c r="B144" s="519"/>
      <c r="C144" s="482"/>
      <c r="D144" s="149" t="s">
        <v>245</v>
      </c>
      <c r="E144" s="150">
        <f>SUM(E132:E143)</f>
        <v>0</v>
      </c>
      <c r="F144" s="150">
        <f>SUM(F132:F143)</f>
        <v>0</v>
      </c>
      <c r="G144" s="150">
        <f>SUM(G132:G143)</f>
        <v>0</v>
      </c>
      <c r="H144" s="150">
        <f>SUM(H132:H143)</f>
        <v>0</v>
      </c>
      <c r="I144" s="786">
        <f t="shared" ref="I144:I191" si="36">SUM(E144:H144)</f>
        <v>0</v>
      </c>
      <c r="J144" s="798"/>
      <c r="K144" s="666"/>
      <c r="L144" s="667"/>
      <c r="M144" s="764"/>
      <c r="N144" s="769"/>
      <c r="O144" s="667"/>
    </row>
    <row r="145" spans="1:15" ht="18.75" customHeight="1" x14ac:dyDescent="0.3">
      <c r="A145" s="742"/>
      <c r="B145" s="519"/>
      <c r="C145" s="482"/>
      <c r="D145" s="149" t="s">
        <v>246</v>
      </c>
      <c r="E145" s="150">
        <f>SUM(E130+E144)</f>
        <v>155700</v>
      </c>
      <c r="F145" s="150">
        <f>SUM(F130+F144)</f>
        <v>20215</v>
      </c>
      <c r="G145" s="150">
        <f>SUM(G130+G144)</f>
        <v>395630</v>
      </c>
      <c r="H145" s="150">
        <f>SUM(H130+H144)</f>
        <v>0</v>
      </c>
      <c r="I145" s="786">
        <f t="shared" si="36"/>
        <v>571545</v>
      </c>
      <c r="J145" s="798"/>
      <c r="K145" s="666"/>
      <c r="L145" s="667"/>
      <c r="M145" s="764"/>
      <c r="N145" s="769"/>
      <c r="O145" s="667"/>
    </row>
    <row r="146" spans="1:15" ht="18.75" customHeight="1" x14ac:dyDescent="0.3">
      <c r="A146" s="743"/>
      <c r="B146" s="520"/>
      <c r="C146" s="484"/>
      <c r="D146" s="152" t="s">
        <v>247</v>
      </c>
      <c r="E146" s="153">
        <f>SUM(E131-E144)</f>
        <v>126700</v>
      </c>
      <c r="F146" s="153">
        <f>SUM(F131-F144)</f>
        <v>421985</v>
      </c>
      <c r="G146" s="153">
        <f>SUM(G131-G144)</f>
        <v>4270</v>
      </c>
      <c r="H146" s="153">
        <f>SUM(H131-H144)</f>
        <v>2034000</v>
      </c>
      <c r="I146" s="787">
        <f t="shared" si="36"/>
        <v>2586955</v>
      </c>
      <c r="J146" s="798"/>
      <c r="K146" s="666"/>
      <c r="L146" s="667"/>
      <c r="M146" s="764"/>
      <c r="N146" s="769"/>
      <c r="O146" s="667"/>
    </row>
    <row r="147" spans="1:15" ht="18.75" customHeight="1" x14ac:dyDescent="0.3">
      <c r="A147" s="1050" t="s">
        <v>248</v>
      </c>
      <c r="B147" s="1072"/>
      <c r="C147" s="1051"/>
      <c r="D147" s="1073"/>
      <c r="E147" s="1052"/>
      <c r="F147" s="1052"/>
      <c r="G147" s="1052"/>
      <c r="H147" s="1052"/>
      <c r="I147" s="1036"/>
      <c r="J147" s="771"/>
      <c r="K147" s="666"/>
      <c r="L147" s="667"/>
      <c r="M147" s="764"/>
      <c r="N147" s="769">
        <f t="shared" ref="N147" si="37">I147-L147-M147</f>
        <v>0</v>
      </c>
      <c r="O147" s="666"/>
    </row>
    <row r="148" spans="1:15" ht="18.75" customHeight="1" x14ac:dyDescent="0.3">
      <c r="A148" s="1069"/>
      <c r="B148" s="2"/>
      <c r="C148" s="955"/>
      <c r="D148" s="41"/>
      <c r="E148" s="684"/>
      <c r="F148" s="37"/>
      <c r="G148" s="684"/>
      <c r="H148" s="1055"/>
      <c r="I148" s="1030">
        <f>SUM(E148:H148)</f>
        <v>0</v>
      </c>
      <c r="J148" s="771"/>
      <c r="K148" s="666"/>
      <c r="L148" s="667"/>
      <c r="M148" s="764"/>
      <c r="N148" s="769">
        <f>I148-L148-M148</f>
        <v>0</v>
      </c>
      <c r="O148" s="666"/>
    </row>
    <row r="149" spans="1:15" ht="18.75" customHeight="1" x14ac:dyDescent="0.3">
      <c r="A149" s="1070"/>
      <c r="B149" s="518"/>
      <c r="C149" s="1071"/>
      <c r="D149" s="124"/>
      <c r="E149" s="1057"/>
      <c r="F149" s="43"/>
      <c r="G149" s="1057"/>
      <c r="H149" s="1059"/>
      <c r="I149" s="1030">
        <f t="shared" ref="I149:I158" si="38">SUM(E149:H149)</f>
        <v>0</v>
      </c>
      <c r="J149" s="771"/>
      <c r="K149" s="666"/>
      <c r="L149" s="667"/>
      <c r="M149" s="764"/>
      <c r="N149" s="769">
        <f t="shared" ref="N149:N157" si="39">I149-L149-M149</f>
        <v>0</v>
      </c>
      <c r="O149" s="667"/>
    </row>
    <row r="150" spans="1:15" ht="18.75" customHeight="1" x14ac:dyDescent="0.3">
      <c r="A150" s="957"/>
      <c r="B150" s="2"/>
      <c r="C150" s="955"/>
      <c r="D150" s="34"/>
      <c r="E150" s="684"/>
      <c r="F150" s="37"/>
      <c r="G150" s="684"/>
      <c r="H150" s="1055"/>
      <c r="I150" s="1030">
        <f t="shared" si="38"/>
        <v>0</v>
      </c>
      <c r="J150" s="771"/>
      <c r="K150" s="667"/>
      <c r="L150" s="667"/>
      <c r="M150" s="764"/>
      <c r="N150" s="769">
        <f t="shared" si="39"/>
        <v>0</v>
      </c>
      <c r="O150" s="667"/>
    </row>
    <row r="151" spans="1:15" ht="18.75" x14ac:dyDescent="0.3">
      <c r="A151" s="957"/>
      <c r="B151" s="171"/>
      <c r="C151" s="955"/>
      <c r="D151" s="34"/>
      <c r="E151" s="684"/>
      <c r="F151" s="37"/>
      <c r="G151" s="684"/>
      <c r="H151" s="1055"/>
      <c r="I151" s="1030">
        <f t="shared" si="38"/>
        <v>0</v>
      </c>
      <c r="J151" s="771"/>
      <c r="K151" s="772"/>
      <c r="L151" s="667"/>
      <c r="M151" s="764"/>
      <c r="N151" s="769">
        <f t="shared" si="39"/>
        <v>0</v>
      </c>
      <c r="O151" s="666"/>
    </row>
    <row r="152" spans="1:15" ht="18.75" customHeight="1" x14ac:dyDescent="0.3">
      <c r="A152" s="957"/>
      <c r="B152" s="2"/>
      <c r="C152" s="955"/>
      <c r="D152" s="34"/>
      <c r="E152" s="684"/>
      <c r="F152" s="37"/>
      <c r="G152" s="684"/>
      <c r="H152" s="1055"/>
      <c r="I152" s="1030">
        <f t="shared" si="38"/>
        <v>0</v>
      </c>
      <c r="J152" s="771"/>
      <c r="K152" s="667"/>
      <c r="L152" s="667"/>
      <c r="M152" s="773"/>
      <c r="N152" s="769">
        <f t="shared" si="39"/>
        <v>0</v>
      </c>
      <c r="O152" s="666"/>
    </row>
    <row r="153" spans="1:15" ht="18.75" customHeight="1" x14ac:dyDescent="0.3">
      <c r="A153" s="957"/>
      <c r="B153" s="2"/>
      <c r="C153" s="955"/>
      <c r="D153" s="34"/>
      <c r="E153" s="684"/>
      <c r="F153" s="37"/>
      <c r="G153" s="684"/>
      <c r="H153" s="1055"/>
      <c r="I153" s="1030">
        <f t="shared" si="38"/>
        <v>0</v>
      </c>
      <c r="J153" s="771"/>
      <c r="K153" s="774"/>
      <c r="L153" s="667"/>
      <c r="M153" s="764"/>
      <c r="N153" s="769">
        <f t="shared" si="39"/>
        <v>0</v>
      </c>
      <c r="O153" s="666"/>
    </row>
    <row r="154" spans="1:15" ht="18.75" customHeight="1" x14ac:dyDescent="0.3">
      <c r="A154" s="957"/>
      <c r="B154" s="2"/>
      <c r="C154" s="955"/>
      <c r="D154" s="34"/>
      <c r="E154" s="684"/>
      <c r="F154" s="37"/>
      <c r="G154" s="684"/>
      <c r="H154" s="1055"/>
      <c r="I154" s="1030">
        <f t="shared" si="38"/>
        <v>0</v>
      </c>
      <c r="J154" s="771"/>
      <c r="K154" s="774"/>
      <c r="L154" s="667"/>
      <c r="M154" s="764"/>
      <c r="N154" s="769">
        <f t="shared" si="39"/>
        <v>0</v>
      </c>
      <c r="O154" s="666"/>
    </row>
    <row r="155" spans="1:15" ht="18.75" customHeight="1" x14ac:dyDescent="0.3">
      <c r="A155" s="957"/>
      <c r="B155" s="2"/>
      <c r="C155" s="955"/>
      <c r="D155" s="34"/>
      <c r="E155" s="684"/>
      <c r="F155" s="37"/>
      <c r="G155" s="684"/>
      <c r="H155" s="1055"/>
      <c r="I155" s="1030">
        <f t="shared" si="38"/>
        <v>0</v>
      </c>
      <c r="J155" s="771"/>
      <c r="K155" s="666"/>
      <c r="L155" s="667"/>
      <c r="M155" s="764"/>
      <c r="N155" s="769">
        <f t="shared" si="39"/>
        <v>0</v>
      </c>
      <c r="O155" s="666"/>
    </row>
    <row r="156" spans="1:15" ht="18.75" customHeight="1" x14ac:dyDescent="0.3">
      <c r="A156" s="1061"/>
      <c r="B156" s="1062"/>
      <c r="C156" s="955"/>
      <c r="D156" s="40"/>
      <c r="E156" s="684"/>
      <c r="F156" s="684"/>
      <c r="G156" s="43"/>
      <c r="H156" s="1059"/>
      <c r="I156" s="1030">
        <f t="shared" si="38"/>
        <v>0</v>
      </c>
      <c r="J156" s="771"/>
      <c r="K156" s="775"/>
      <c r="L156" s="667"/>
      <c r="M156" s="764"/>
      <c r="N156" s="769">
        <f t="shared" si="39"/>
        <v>0</v>
      </c>
      <c r="O156" s="666"/>
    </row>
    <row r="157" spans="1:15" ht="18.75" customHeight="1" x14ac:dyDescent="0.3">
      <c r="A157" s="957"/>
      <c r="B157" s="2"/>
      <c r="C157" s="955"/>
      <c r="D157" s="41"/>
      <c r="E157" s="684"/>
      <c r="F157" s="37"/>
      <c r="G157" s="684"/>
      <c r="H157" s="1055"/>
      <c r="I157" s="1030">
        <f t="shared" si="38"/>
        <v>0</v>
      </c>
      <c r="J157" s="771"/>
      <c r="K157" s="775"/>
      <c r="L157" s="667"/>
      <c r="M157" s="764"/>
      <c r="N157" s="769">
        <f t="shared" si="39"/>
        <v>0</v>
      </c>
      <c r="O157" s="666"/>
    </row>
    <row r="158" spans="1:15" ht="18.75" customHeight="1" x14ac:dyDescent="0.3">
      <c r="A158" s="1031"/>
      <c r="B158" s="1063"/>
      <c r="C158" s="1033"/>
      <c r="D158" s="1034"/>
      <c r="E158" s="916"/>
      <c r="F158" s="888"/>
      <c r="G158" s="916"/>
      <c r="H158" s="1065"/>
      <c r="I158" s="790">
        <f t="shared" si="38"/>
        <v>0</v>
      </c>
      <c r="J158" s="771"/>
      <c r="K158" s="775"/>
      <c r="L158" s="667"/>
      <c r="M158" s="764"/>
      <c r="N158" s="769">
        <f>I158-L158-M158</f>
        <v>0</v>
      </c>
      <c r="O158" s="666"/>
    </row>
    <row r="159" spans="1:15" ht="18.75" customHeight="1" x14ac:dyDescent="0.3">
      <c r="A159" s="742"/>
      <c r="B159" s="519"/>
      <c r="C159" s="482"/>
      <c r="D159" s="149" t="s">
        <v>249</v>
      </c>
      <c r="E159" s="150">
        <f>SUM(E147:E158)</f>
        <v>0</v>
      </c>
      <c r="F159" s="150">
        <f>SUM(F147:F158)</f>
        <v>0</v>
      </c>
      <c r="G159" s="150">
        <f>SUM(G147:G158)</f>
        <v>0</v>
      </c>
      <c r="H159" s="150">
        <f>SUM(H147:H158)</f>
        <v>0</v>
      </c>
      <c r="I159" s="791">
        <f t="shared" si="36"/>
        <v>0</v>
      </c>
      <c r="J159" s="798"/>
      <c r="K159" s="666"/>
      <c r="L159" s="667"/>
      <c r="M159" s="764"/>
      <c r="N159" s="769"/>
      <c r="O159" s="667"/>
    </row>
    <row r="160" spans="1:15" ht="18.75" customHeight="1" x14ac:dyDescent="0.3">
      <c r="A160" s="742"/>
      <c r="B160" s="519"/>
      <c r="C160" s="482"/>
      <c r="D160" s="149" t="s">
        <v>250</v>
      </c>
      <c r="E160" s="150">
        <f>SUM(E145+E159)</f>
        <v>155700</v>
      </c>
      <c r="F160" s="150">
        <f>SUM(F145+F159)</f>
        <v>20215</v>
      </c>
      <c r="G160" s="150">
        <f>SUM(G145+G159)</f>
        <v>395630</v>
      </c>
      <c r="H160" s="150">
        <f>SUM(H145+H159)</f>
        <v>0</v>
      </c>
      <c r="I160" s="786">
        <f t="shared" si="36"/>
        <v>571545</v>
      </c>
      <c r="J160" s="798"/>
      <c r="K160" s="666"/>
      <c r="L160" s="667"/>
      <c r="M160" s="764"/>
      <c r="N160" s="769"/>
      <c r="O160" s="667"/>
    </row>
    <row r="161" spans="1:15" ht="18.75" customHeight="1" x14ac:dyDescent="0.3">
      <c r="A161" s="743"/>
      <c r="B161" s="520"/>
      <c r="C161" s="484"/>
      <c r="D161" s="152" t="s">
        <v>251</v>
      </c>
      <c r="E161" s="153">
        <f>SUM(E146-E159)</f>
        <v>126700</v>
      </c>
      <c r="F161" s="153">
        <f>SUM(F146-F159)</f>
        <v>421985</v>
      </c>
      <c r="G161" s="153">
        <f>SUM(G146-G159)</f>
        <v>4270</v>
      </c>
      <c r="H161" s="153">
        <f>SUM(H146-H159)</f>
        <v>2034000</v>
      </c>
      <c r="I161" s="787">
        <f t="shared" si="36"/>
        <v>2586955</v>
      </c>
      <c r="J161" s="798"/>
      <c r="K161" s="666"/>
      <c r="L161" s="667"/>
      <c r="M161" s="764"/>
      <c r="N161" s="769"/>
      <c r="O161" s="667"/>
    </row>
    <row r="162" spans="1:15" ht="18.75" customHeight="1" x14ac:dyDescent="0.3">
      <c r="A162" s="1050" t="s">
        <v>252</v>
      </c>
      <c r="B162" s="1072"/>
      <c r="C162" s="1051"/>
      <c r="D162" s="1073"/>
      <c r="E162" s="1052"/>
      <c r="F162" s="1052"/>
      <c r="G162" s="1052"/>
      <c r="H162" s="1052"/>
      <c r="I162" s="1036"/>
      <c r="J162" s="771"/>
      <c r="K162" s="666"/>
      <c r="L162" s="667"/>
      <c r="M162" s="764"/>
      <c r="N162" s="769">
        <f t="shared" ref="N162" si="40">I162-L162-M162</f>
        <v>0</v>
      </c>
      <c r="O162" s="666"/>
    </row>
    <row r="163" spans="1:15" ht="18.75" customHeight="1" x14ac:dyDescent="0.3">
      <c r="A163" s="1069"/>
      <c r="B163" s="2"/>
      <c r="C163" s="955"/>
      <c r="D163" s="41"/>
      <c r="E163" s="684"/>
      <c r="F163" s="37"/>
      <c r="G163" s="684"/>
      <c r="H163" s="1055"/>
      <c r="I163" s="1030">
        <f>SUM(E163:H163)</f>
        <v>0</v>
      </c>
      <c r="J163" s="771"/>
      <c r="K163" s="666"/>
      <c r="L163" s="667"/>
      <c r="M163" s="764"/>
      <c r="N163" s="769">
        <f>I163-L163-M163</f>
        <v>0</v>
      </c>
      <c r="O163" s="666"/>
    </row>
    <row r="164" spans="1:15" ht="18.75" x14ac:dyDescent="0.3">
      <c r="A164" s="1070"/>
      <c r="B164" s="518"/>
      <c r="C164" s="1071"/>
      <c r="D164" s="124"/>
      <c r="E164" s="1057"/>
      <c r="F164" s="43"/>
      <c r="G164" s="1057"/>
      <c r="H164" s="1059"/>
      <c r="I164" s="1030">
        <f t="shared" ref="I164:I173" si="41">SUM(E164:H164)</f>
        <v>0</v>
      </c>
      <c r="J164" s="771"/>
      <c r="K164" s="666"/>
      <c r="L164" s="667"/>
      <c r="M164" s="764"/>
      <c r="N164" s="769">
        <f t="shared" ref="N164:N172" si="42">I164-L164-M164</f>
        <v>0</v>
      </c>
      <c r="O164" s="667"/>
    </row>
    <row r="165" spans="1:15" ht="18.75" customHeight="1" x14ac:dyDescent="0.3">
      <c r="A165" s="957"/>
      <c r="B165" s="2"/>
      <c r="C165" s="955"/>
      <c r="D165" s="34"/>
      <c r="E165" s="684"/>
      <c r="F165" s="37"/>
      <c r="G165" s="684"/>
      <c r="H165" s="1055"/>
      <c r="I165" s="1030">
        <f t="shared" si="41"/>
        <v>0</v>
      </c>
      <c r="J165" s="771"/>
      <c r="K165" s="667"/>
      <c r="L165" s="667"/>
      <c r="M165" s="764"/>
      <c r="N165" s="769">
        <f t="shared" si="42"/>
        <v>0</v>
      </c>
      <c r="O165" s="667"/>
    </row>
    <row r="166" spans="1:15" ht="18.75" customHeight="1" x14ac:dyDescent="0.3">
      <c r="A166" s="957"/>
      <c r="B166" s="171"/>
      <c r="C166" s="955"/>
      <c r="D166" s="34"/>
      <c r="E166" s="684"/>
      <c r="F166" s="37"/>
      <c r="G166" s="684"/>
      <c r="H166" s="1055"/>
      <c r="I166" s="1030">
        <f t="shared" si="41"/>
        <v>0</v>
      </c>
      <c r="J166" s="771"/>
      <c r="K166" s="772"/>
      <c r="L166" s="667"/>
      <c r="M166" s="764"/>
      <c r="N166" s="769">
        <f t="shared" si="42"/>
        <v>0</v>
      </c>
      <c r="O166" s="666"/>
    </row>
    <row r="167" spans="1:15" ht="18.75" customHeight="1" x14ac:dyDescent="0.3">
      <c r="A167" s="957"/>
      <c r="B167" s="2"/>
      <c r="C167" s="955"/>
      <c r="D167" s="34"/>
      <c r="E167" s="684"/>
      <c r="F167" s="37"/>
      <c r="G167" s="684"/>
      <c r="H167" s="1055"/>
      <c r="I167" s="1030">
        <f t="shared" si="41"/>
        <v>0</v>
      </c>
      <c r="J167" s="771"/>
      <c r="K167" s="667"/>
      <c r="L167" s="667"/>
      <c r="M167" s="773"/>
      <c r="N167" s="769">
        <f t="shared" si="42"/>
        <v>0</v>
      </c>
      <c r="O167" s="666"/>
    </row>
    <row r="168" spans="1:15" ht="18.75" customHeight="1" x14ac:dyDescent="0.3">
      <c r="A168" s="957"/>
      <c r="B168" s="2"/>
      <c r="C168" s="955"/>
      <c r="D168" s="34"/>
      <c r="E168" s="684"/>
      <c r="F168" s="37"/>
      <c r="G168" s="684"/>
      <c r="H168" s="1055"/>
      <c r="I168" s="1030">
        <f t="shared" si="41"/>
        <v>0</v>
      </c>
      <c r="J168" s="771"/>
      <c r="K168" s="774"/>
      <c r="L168" s="667"/>
      <c r="M168" s="764"/>
      <c r="N168" s="769">
        <f t="shared" si="42"/>
        <v>0</v>
      </c>
      <c r="O168" s="666"/>
    </row>
    <row r="169" spans="1:15" ht="18.75" customHeight="1" x14ac:dyDescent="0.3">
      <c r="A169" s="957"/>
      <c r="B169" s="2"/>
      <c r="C169" s="955"/>
      <c r="D169" s="34"/>
      <c r="E169" s="684"/>
      <c r="F169" s="37"/>
      <c r="G169" s="684"/>
      <c r="H169" s="1055"/>
      <c r="I169" s="1030">
        <f t="shared" si="41"/>
        <v>0</v>
      </c>
      <c r="J169" s="771"/>
      <c r="K169" s="774"/>
      <c r="L169" s="667"/>
      <c r="M169" s="764"/>
      <c r="N169" s="769">
        <f t="shared" si="42"/>
        <v>0</v>
      </c>
      <c r="O169" s="666"/>
    </row>
    <row r="170" spans="1:15" ht="18.75" customHeight="1" x14ac:dyDescent="0.3">
      <c r="A170" s="957"/>
      <c r="B170" s="2"/>
      <c r="C170" s="955"/>
      <c r="D170" s="34"/>
      <c r="E170" s="684"/>
      <c r="F170" s="37"/>
      <c r="G170" s="684"/>
      <c r="H170" s="1055"/>
      <c r="I170" s="1030">
        <f t="shared" si="41"/>
        <v>0</v>
      </c>
      <c r="J170" s="771"/>
      <c r="K170" s="666"/>
      <c r="L170" s="667"/>
      <c r="M170" s="764"/>
      <c r="N170" s="769">
        <f t="shared" si="42"/>
        <v>0</v>
      </c>
      <c r="O170" s="666"/>
    </row>
    <row r="171" spans="1:15" ht="18.75" customHeight="1" x14ac:dyDescent="0.3">
      <c r="A171" s="1061"/>
      <c r="B171" s="1062"/>
      <c r="C171" s="955"/>
      <c r="D171" s="40"/>
      <c r="E171" s="684"/>
      <c r="F171" s="684"/>
      <c r="G171" s="43"/>
      <c r="H171" s="1059"/>
      <c r="I171" s="1030">
        <f t="shared" si="41"/>
        <v>0</v>
      </c>
      <c r="J171" s="771"/>
      <c r="K171" s="775"/>
      <c r="L171" s="667"/>
      <c r="M171" s="764"/>
      <c r="N171" s="769">
        <f t="shared" si="42"/>
        <v>0</v>
      </c>
      <c r="O171" s="666"/>
    </row>
    <row r="172" spans="1:15" ht="18.75" customHeight="1" x14ac:dyDescent="0.3">
      <c r="A172" s="957"/>
      <c r="B172" s="2"/>
      <c r="C172" s="955"/>
      <c r="D172" s="41"/>
      <c r="E172" s="684"/>
      <c r="F172" s="37"/>
      <c r="G172" s="684"/>
      <c r="H172" s="1055"/>
      <c r="I172" s="1030">
        <f t="shared" si="41"/>
        <v>0</v>
      </c>
      <c r="J172" s="771"/>
      <c r="K172" s="775"/>
      <c r="L172" s="667"/>
      <c r="M172" s="764"/>
      <c r="N172" s="769">
        <f t="shared" si="42"/>
        <v>0</v>
      </c>
      <c r="O172" s="666"/>
    </row>
    <row r="173" spans="1:15" ht="18.75" customHeight="1" x14ac:dyDescent="0.3">
      <c r="A173" s="1031"/>
      <c r="B173" s="1063"/>
      <c r="C173" s="1033"/>
      <c r="D173" s="1034"/>
      <c r="E173" s="916"/>
      <c r="F173" s="888"/>
      <c r="G173" s="916"/>
      <c r="H173" s="1065"/>
      <c r="I173" s="790">
        <f t="shared" si="41"/>
        <v>0</v>
      </c>
      <c r="J173" s="771"/>
      <c r="K173" s="775"/>
      <c r="L173" s="667"/>
      <c r="M173" s="764"/>
      <c r="N173" s="769">
        <f>I173-L173-M173</f>
        <v>0</v>
      </c>
      <c r="O173" s="666"/>
    </row>
    <row r="174" spans="1:15" ht="18.75" customHeight="1" x14ac:dyDescent="0.3">
      <c r="A174" s="742"/>
      <c r="B174" s="519"/>
      <c r="C174" s="482"/>
      <c r="D174" s="149" t="s">
        <v>253</v>
      </c>
      <c r="E174" s="150">
        <f>SUM(E162:E173)</f>
        <v>0</v>
      </c>
      <c r="F174" s="150">
        <f>SUM(F162:F173)</f>
        <v>0</v>
      </c>
      <c r="G174" s="150">
        <f>SUM(G162:G173)</f>
        <v>0</v>
      </c>
      <c r="H174" s="150">
        <f>SUM(H162:H173)</f>
        <v>0</v>
      </c>
      <c r="I174" s="791">
        <f t="shared" si="36"/>
        <v>0</v>
      </c>
      <c r="J174" s="798"/>
      <c r="K174" s="666"/>
      <c r="L174" s="667"/>
      <c r="M174" s="764"/>
      <c r="N174" s="769"/>
      <c r="O174" s="667"/>
    </row>
    <row r="175" spans="1:15" ht="18.75" customHeight="1" x14ac:dyDescent="0.3">
      <c r="A175" s="742"/>
      <c r="B175" s="519"/>
      <c r="C175" s="482"/>
      <c r="D175" s="149" t="s">
        <v>254</v>
      </c>
      <c r="E175" s="150">
        <f>SUM(E160+E174)</f>
        <v>155700</v>
      </c>
      <c r="F175" s="150">
        <f>SUM(F160+F174)</f>
        <v>20215</v>
      </c>
      <c r="G175" s="150">
        <f>SUM(G160+G174)</f>
        <v>395630</v>
      </c>
      <c r="H175" s="150">
        <f>SUM(H160+H174)</f>
        <v>0</v>
      </c>
      <c r="I175" s="786">
        <f t="shared" si="36"/>
        <v>571545</v>
      </c>
      <c r="J175" s="798"/>
      <c r="K175" s="666"/>
      <c r="L175" s="667"/>
      <c r="M175" s="764"/>
      <c r="N175" s="769"/>
      <c r="O175" s="667"/>
    </row>
    <row r="176" spans="1:15" ht="18.75" customHeight="1" x14ac:dyDescent="0.3">
      <c r="A176" s="743"/>
      <c r="B176" s="520"/>
      <c r="C176" s="484"/>
      <c r="D176" s="152" t="s">
        <v>255</v>
      </c>
      <c r="E176" s="153">
        <f>SUM(E161-E174)</f>
        <v>126700</v>
      </c>
      <c r="F176" s="153">
        <f>SUM(F161-F174)</f>
        <v>421985</v>
      </c>
      <c r="G176" s="153">
        <f>SUM(G161-G174)</f>
        <v>4270</v>
      </c>
      <c r="H176" s="153">
        <f>SUM(H161-H174)</f>
        <v>2034000</v>
      </c>
      <c r="I176" s="787">
        <f t="shared" si="36"/>
        <v>2586955</v>
      </c>
      <c r="J176" s="798"/>
      <c r="K176" s="666"/>
      <c r="L176" s="667"/>
      <c r="M176" s="764"/>
      <c r="N176" s="769"/>
      <c r="O176" s="667"/>
    </row>
    <row r="177" spans="1:15" ht="18.75" customHeight="1" x14ac:dyDescent="0.3">
      <c r="A177" s="1050" t="s">
        <v>256</v>
      </c>
      <c r="B177" s="1072"/>
      <c r="C177" s="1051"/>
      <c r="D177" s="1073"/>
      <c r="E177" s="1052"/>
      <c r="F177" s="1052"/>
      <c r="G177" s="1052"/>
      <c r="H177" s="1052"/>
      <c r="I177" s="1036"/>
      <c r="J177" s="771"/>
      <c r="K177" s="666"/>
      <c r="L177" s="667"/>
      <c r="M177" s="764"/>
      <c r="N177" s="769">
        <f t="shared" ref="N177" si="43">I177-L177-M177</f>
        <v>0</v>
      </c>
      <c r="O177" s="666"/>
    </row>
    <row r="178" spans="1:15" s="668" customFormat="1" ht="18.75" x14ac:dyDescent="0.3">
      <c r="A178" s="1069"/>
      <c r="B178" s="2"/>
      <c r="C178" s="955"/>
      <c r="D178" s="41"/>
      <c r="E178" s="684"/>
      <c r="F178" s="37"/>
      <c r="G178" s="684"/>
      <c r="H178" s="1055"/>
      <c r="I178" s="1030">
        <f>SUM(E178:H178)</f>
        <v>0</v>
      </c>
      <c r="J178" s="771"/>
      <c r="K178" s="666"/>
      <c r="L178" s="667"/>
      <c r="M178" s="764"/>
      <c r="N178" s="769">
        <f>I178-L178-M178</f>
        <v>0</v>
      </c>
      <c r="O178" s="666"/>
    </row>
    <row r="179" spans="1:15" ht="18.75" customHeight="1" x14ac:dyDescent="0.3">
      <c r="A179" s="1070"/>
      <c r="B179" s="518"/>
      <c r="C179" s="1071"/>
      <c r="D179" s="124"/>
      <c r="E179" s="1057"/>
      <c r="F179" s="43"/>
      <c r="G179" s="1057"/>
      <c r="H179" s="1059"/>
      <c r="I179" s="1030">
        <f t="shared" ref="I179:I188" si="44">SUM(E179:H179)</f>
        <v>0</v>
      </c>
      <c r="J179" s="771"/>
      <c r="K179" s="666"/>
      <c r="L179" s="667"/>
      <c r="M179" s="764"/>
      <c r="N179" s="769">
        <f t="shared" ref="N179:N187" si="45">I179-L179-M179</f>
        <v>0</v>
      </c>
      <c r="O179" s="667"/>
    </row>
    <row r="180" spans="1:15" ht="18.75" customHeight="1" x14ac:dyDescent="0.3">
      <c r="A180" s="957"/>
      <c r="B180" s="2"/>
      <c r="C180" s="955"/>
      <c r="D180" s="34"/>
      <c r="E180" s="684"/>
      <c r="F180" s="37"/>
      <c r="G180" s="684"/>
      <c r="H180" s="1055"/>
      <c r="I180" s="1030">
        <f t="shared" si="44"/>
        <v>0</v>
      </c>
      <c r="J180" s="771"/>
      <c r="K180" s="667"/>
      <c r="L180" s="667"/>
      <c r="M180" s="764"/>
      <c r="N180" s="769">
        <f t="shared" si="45"/>
        <v>0</v>
      </c>
      <c r="O180" s="667"/>
    </row>
    <row r="181" spans="1:15" ht="18.75" customHeight="1" x14ac:dyDescent="0.3">
      <c r="A181" s="957"/>
      <c r="B181" s="171"/>
      <c r="C181" s="955"/>
      <c r="D181" s="34"/>
      <c r="E181" s="684"/>
      <c r="F181" s="37"/>
      <c r="G181" s="684"/>
      <c r="H181" s="1055"/>
      <c r="I181" s="1030">
        <f t="shared" si="44"/>
        <v>0</v>
      </c>
      <c r="J181" s="771"/>
      <c r="K181" s="772"/>
      <c r="L181" s="667"/>
      <c r="M181" s="764"/>
      <c r="N181" s="769">
        <f t="shared" si="45"/>
        <v>0</v>
      </c>
      <c r="O181" s="666"/>
    </row>
    <row r="182" spans="1:15" ht="18.75" customHeight="1" x14ac:dyDescent="0.3">
      <c r="A182" s="957"/>
      <c r="B182" s="2"/>
      <c r="C182" s="955"/>
      <c r="D182" s="34"/>
      <c r="E182" s="684"/>
      <c r="F182" s="37"/>
      <c r="G182" s="684"/>
      <c r="H182" s="1055"/>
      <c r="I182" s="1030">
        <f t="shared" si="44"/>
        <v>0</v>
      </c>
      <c r="J182" s="771"/>
      <c r="K182" s="667"/>
      <c r="L182" s="667"/>
      <c r="M182" s="773"/>
      <c r="N182" s="769">
        <f t="shared" si="45"/>
        <v>0</v>
      </c>
      <c r="O182" s="666"/>
    </row>
    <row r="183" spans="1:15" ht="18.75" customHeight="1" x14ac:dyDescent="0.3">
      <c r="A183" s="957"/>
      <c r="B183" s="2"/>
      <c r="C183" s="955"/>
      <c r="D183" s="34"/>
      <c r="E183" s="684"/>
      <c r="F183" s="37"/>
      <c r="G183" s="684"/>
      <c r="H183" s="1055"/>
      <c r="I183" s="1030">
        <f t="shared" si="44"/>
        <v>0</v>
      </c>
      <c r="J183" s="771"/>
      <c r="K183" s="774"/>
      <c r="L183" s="667"/>
      <c r="M183" s="764"/>
      <c r="N183" s="769">
        <f t="shared" si="45"/>
        <v>0</v>
      </c>
      <c r="O183" s="666"/>
    </row>
    <row r="184" spans="1:15" ht="18.75" customHeight="1" x14ac:dyDescent="0.3">
      <c r="A184" s="957"/>
      <c r="B184" s="2"/>
      <c r="C184" s="955"/>
      <c r="D184" s="34"/>
      <c r="E184" s="684"/>
      <c r="F184" s="37"/>
      <c r="G184" s="684"/>
      <c r="H184" s="1055"/>
      <c r="I184" s="1030">
        <f t="shared" si="44"/>
        <v>0</v>
      </c>
      <c r="J184" s="771"/>
      <c r="K184" s="774"/>
      <c r="L184" s="667"/>
      <c r="M184" s="764"/>
      <c r="N184" s="769">
        <f t="shared" si="45"/>
        <v>0</v>
      </c>
      <c r="O184" s="666"/>
    </row>
    <row r="185" spans="1:15" ht="18.75" customHeight="1" x14ac:dyDescent="0.3">
      <c r="A185" s="957"/>
      <c r="B185" s="2"/>
      <c r="C185" s="955"/>
      <c r="D185" s="34"/>
      <c r="E185" s="684"/>
      <c r="F185" s="37"/>
      <c r="G185" s="684"/>
      <c r="H185" s="1055"/>
      <c r="I185" s="1030">
        <f t="shared" si="44"/>
        <v>0</v>
      </c>
      <c r="J185" s="771"/>
      <c r="K185" s="666"/>
      <c r="L185" s="667"/>
      <c r="M185" s="764"/>
      <c r="N185" s="769">
        <f t="shared" si="45"/>
        <v>0</v>
      </c>
      <c r="O185" s="666"/>
    </row>
    <row r="186" spans="1:15" ht="18.75" customHeight="1" x14ac:dyDescent="0.3">
      <c r="A186" s="1061"/>
      <c r="B186" s="1062"/>
      <c r="C186" s="955"/>
      <c r="D186" s="40"/>
      <c r="E186" s="684"/>
      <c r="F186" s="684"/>
      <c r="G186" s="43"/>
      <c r="H186" s="1059"/>
      <c r="I186" s="1030">
        <f t="shared" si="44"/>
        <v>0</v>
      </c>
      <c r="J186" s="771"/>
      <c r="K186" s="775"/>
      <c r="L186" s="667"/>
      <c r="M186" s="764"/>
      <c r="N186" s="769">
        <f t="shared" si="45"/>
        <v>0</v>
      </c>
      <c r="O186" s="666"/>
    </row>
    <row r="187" spans="1:15" ht="18.75" customHeight="1" x14ac:dyDescent="0.3">
      <c r="A187" s="957"/>
      <c r="B187" s="2"/>
      <c r="C187" s="955"/>
      <c r="D187" s="41"/>
      <c r="E187" s="684"/>
      <c r="F187" s="37"/>
      <c r="G187" s="684"/>
      <c r="H187" s="1055"/>
      <c r="I187" s="1030">
        <f t="shared" si="44"/>
        <v>0</v>
      </c>
      <c r="J187" s="771"/>
      <c r="K187" s="775"/>
      <c r="L187" s="667"/>
      <c r="M187" s="764"/>
      <c r="N187" s="769">
        <f t="shared" si="45"/>
        <v>0</v>
      </c>
      <c r="O187" s="666"/>
    </row>
    <row r="188" spans="1:15" ht="18.75" customHeight="1" x14ac:dyDescent="0.3">
      <c r="A188" s="1031"/>
      <c r="B188" s="1063"/>
      <c r="C188" s="1033"/>
      <c r="D188" s="1034"/>
      <c r="E188" s="916"/>
      <c r="F188" s="888"/>
      <c r="G188" s="916"/>
      <c r="H188" s="1065"/>
      <c r="I188" s="790">
        <f t="shared" si="44"/>
        <v>0</v>
      </c>
      <c r="J188" s="771"/>
      <c r="K188" s="775"/>
      <c r="L188" s="667"/>
      <c r="M188" s="764"/>
      <c r="N188" s="769">
        <f>I188-L188-M188</f>
        <v>0</v>
      </c>
      <c r="O188" s="666"/>
    </row>
    <row r="189" spans="1:15" ht="18.75" customHeight="1" x14ac:dyDescent="0.3">
      <c r="A189" s="742"/>
      <c r="B189" s="519"/>
      <c r="C189" s="482"/>
      <c r="D189" s="149" t="s">
        <v>257</v>
      </c>
      <c r="E189" s="150">
        <f>SUM(E177:E188)</f>
        <v>0</v>
      </c>
      <c r="F189" s="150">
        <f>SUM(F177:F188)</f>
        <v>0</v>
      </c>
      <c r="G189" s="150">
        <f>SUM(G177:G188)</f>
        <v>0</v>
      </c>
      <c r="H189" s="150">
        <f>SUM(H177:H188)</f>
        <v>0</v>
      </c>
      <c r="I189" s="791">
        <f t="shared" si="36"/>
        <v>0</v>
      </c>
      <c r="J189" s="798"/>
      <c r="K189" s="666"/>
      <c r="L189" s="667"/>
      <c r="M189" s="764"/>
      <c r="N189" s="769"/>
      <c r="O189" s="667"/>
    </row>
    <row r="190" spans="1:15" ht="18.75" customHeight="1" x14ac:dyDescent="0.3">
      <c r="A190" s="742"/>
      <c r="B190" s="519"/>
      <c r="C190" s="482"/>
      <c r="D190" s="149" t="s">
        <v>258</v>
      </c>
      <c r="E190" s="150">
        <f>SUM(E175+E189)</f>
        <v>155700</v>
      </c>
      <c r="F190" s="150">
        <f>SUM(F175+F189)</f>
        <v>20215</v>
      </c>
      <c r="G190" s="150">
        <f>SUM(G175+G189)</f>
        <v>395630</v>
      </c>
      <c r="H190" s="150">
        <f>SUM(H175+H189)</f>
        <v>0</v>
      </c>
      <c r="I190" s="786">
        <f t="shared" si="36"/>
        <v>571545</v>
      </c>
      <c r="J190" s="798"/>
      <c r="K190" s="666"/>
      <c r="L190" s="667"/>
      <c r="M190" s="764"/>
      <c r="N190" s="769"/>
      <c r="O190" s="667"/>
    </row>
    <row r="191" spans="1:15" ht="18.75" customHeight="1" x14ac:dyDescent="0.3">
      <c r="A191" s="743"/>
      <c r="B191" s="520"/>
      <c r="C191" s="484"/>
      <c r="D191" s="152" t="s">
        <v>259</v>
      </c>
      <c r="E191" s="153">
        <f>SUM(E176-E189)</f>
        <v>126700</v>
      </c>
      <c r="F191" s="153">
        <f>SUM(F176-F189)</f>
        <v>421985</v>
      </c>
      <c r="G191" s="153">
        <f>SUM(G176-G189)</f>
        <v>4270</v>
      </c>
      <c r="H191" s="153">
        <f>SUM(H176-H189)</f>
        <v>2034000</v>
      </c>
      <c r="I191" s="787">
        <f t="shared" si="36"/>
        <v>2586955</v>
      </c>
      <c r="J191" s="798"/>
      <c r="K191" s="666"/>
      <c r="L191" s="667"/>
      <c r="M191" s="764"/>
      <c r="N191" s="769"/>
      <c r="O191" s="667"/>
    </row>
  </sheetData>
  <autoFilter ref="A2:O191" xr:uid="{00000000-0009-0000-0000-000006000000}"/>
  <phoneticPr fontId="48" type="noConversion"/>
  <conditionalFormatting sqref="K27:M32 A32:H32 C31:H31">
    <cfRule type="cellIs" dxfId="658" priority="43" stopIfTrue="1" operator="lessThan">
      <formula>0</formula>
    </cfRule>
  </conditionalFormatting>
  <conditionalFormatting sqref="O118:O128">
    <cfRule type="cellIs" dxfId="657" priority="27" stopIfTrue="1" operator="lessThan">
      <formula>0</formula>
    </cfRule>
  </conditionalFormatting>
  <conditionalFormatting sqref="O133:O143">
    <cfRule type="cellIs" dxfId="656" priority="24" stopIfTrue="1" operator="lessThan">
      <formula>0</formula>
    </cfRule>
  </conditionalFormatting>
  <conditionalFormatting sqref="O148:O158">
    <cfRule type="cellIs" dxfId="655" priority="21" stopIfTrue="1" operator="lessThan">
      <formula>0</formula>
    </cfRule>
  </conditionalFormatting>
  <conditionalFormatting sqref="O163:O173">
    <cfRule type="cellIs" dxfId="654" priority="18" stopIfTrue="1" operator="lessThan">
      <formula>0</formula>
    </cfRule>
  </conditionalFormatting>
  <conditionalFormatting sqref="O178:O188">
    <cfRule type="cellIs" dxfId="653" priority="15" stopIfTrue="1" operator="lessThan">
      <formula>0</formula>
    </cfRule>
  </conditionalFormatting>
  <conditionalFormatting sqref="A22:A31">
    <cfRule type="cellIs" dxfId="652" priority="12" stopIfTrue="1" operator="lessThan">
      <formula>0</formula>
    </cfRule>
  </conditionalFormatting>
  <conditionalFormatting sqref="K42:M47 A47:H47 C46:H46">
    <cfRule type="cellIs" dxfId="651" priority="40" stopIfTrue="1" operator="lessThan">
      <formula>0</formula>
    </cfRule>
  </conditionalFormatting>
  <conditionalFormatting sqref="O73:O83">
    <cfRule type="cellIs" dxfId="650" priority="36" stopIfTrue="1" operator="lessThan">
      <formula>0</formula>
    </cfRule>
  </conditionalFormatting>
  <conditionalFormatting sqref="K52:M53 N52:O59 K54:L56 E62:F62 A52:J59 N62:O62 H62:J62 I67:J68 N67:O68 A60:B66">
    <cfRule type="cellIs" dxfId="649" priority="37" stopIfTrue="1" operator="lessThan">
      <formula>0</formula>
    </cfRule>
  </conditionalFormatting>
  <conditionalFormatting sqref="O88:O98">
    <cfRule type="cellIs" dxfId="648" priority="33" stopIfTrue="1" operator="lessThan">
      <formula>0</formula>
    </cfRule>
  </conditionalFormatting>
  <conditionalFormatting sqref="K73:M74 A73:H80 I73:J83 K75:L77 E81:F81 H81">
    <cfRule type="cellIs" dxfId="647" priority="34" stopIfTrue="1" operator="lessThan">
      <formula>0</formula>
    </cfRule>
  </conditionalFormatting>
  <conditionalFormatting sqref="O103:O113">
    <cfRule type="cellIs" dxfId="646" priority="30" stopIfTrue="1" operator="lessThan">
      <formula>0</formula>
    </cfRule>
  </conditionalFormatting>
  <conditionalFormatting sqref="I87:J98 K88:M89 A88:H95 K90:L92 E96:F96 H96">
    <cfRule type="cellIs" dxfId="645" priority="31" stopIfTrue="1" operator="lessThan">
      <formula>0</formula>
    </cfRule>
  </conditionalFormatting>
  <conditionalFormatting sqref="I102:J113 K103:M104 A103:H110 K105:L107 E111:F111 H111">
    <cfRule type="cellIs" dxfId="644" priority="28" stopIfTrue="1" operator="lessThan">
      <formula>0</formula>
    </cfRule>
  </conditionalFormatting>
  <conditionalFormatting sqref="I117:J128 K118:M119 A118:H125 K120:L122 E126:F126 H126">
    <cfRule type="cellIs" dxfId="643" priority="25" stopIfTrue="1" operator="lessThan">
      <formula>0</formula>
    </cfRule>
  </conditionalFormatting>
  <conditionalFormatting sqref="I132:J143 K133:M134 A133:H140 K135:L137 E141:F141 H141">
    <cfRule type="cellIs" dxfId="642" priority="22" stopIfTrue="1" operator="lessThan">
      <formula>0</formula>
    </cfRule>
  </conditionalFormatting>
  <conditionalFormatting sqref="I147:J158 K148:M149 A148:H155 K150:L152 E156:F156 H156">
    <cfRule type="cellIs" dxfId="641" priority="19" stopIfTrue="1" operator="lessThan">
      <formula>0</formula>
    </cfRule>
  </conditionalFormatting>
  <conditionalFormatting sqref="I162:J173 K163:M164 A163:H170 K165:L167 E171:F171 H171">
    <cfRule type="cellIs" dxfId="640" priority="16" stopIfTrue="1" operator="lessThan">
      <formula>0</formula>
    </cfRule>
  </conditionalFormatting>
  <conditionalFormatting sqref="N73:N191 I177:J188 K178:M179 A178:H185 K180:L182 E186:F186 H186">
    <cfRule type="cellIs" dxfId="639" priority="13" stopIfTrue="1" operator="lessThan">
      <formula>0</formula>
    </cfRule>
  </conditionalFormatting>
  <conditionalFormatting sqref="B37:B46">
    <cfRule type="cellIs" dxfId="638" priority="10" stopIfTrue="1" operator="lessThan">
      <formula>0</formula>
    </cfRule>
  </conditionalFormatting>
  <conditionalFormatting sqref="K37:M38 I37:J47 N37:N47 K39:L41 E45:F45 H45 C37:H44">
    <cfRule type="cellIs" dxfId="637" priority="39" stopIfTrue="1" operator="lessThan">
      <formula>0</formula>
    </cfRule>
  </conditionalFormatting>
  <conditionalFormatting sqref="A37:A46">
    <cfRule type="cellIs" dxfId="636" priority="9" stopIfTrue="1" operator="lessThan">
      <formula>0</formula>
    </cfRule>
  </conditionalFormatting>
  <conditionalFormatting sqref="K57:M59 A67:H68 K62:M62 K67:M68">
    <cfRule type="cellIs" dxfId="635" priority="38" stopIfTrue="1" operator="lessThan">
      <formula>0</formula>
    </cfRule>
  </conditionalFormatting>
  <conditionalFormatting sqref="K93:M98 A97:H98">
    <cfRule type="cellIs" dxfId="634" priority="32" stopIfTrue="1" operator="lessThan">
      <formula>0</formula>
    </cfRule>
  </conditionalFormatting>
  <conditionalFormatting sqref="K108:M113 A112:H113">
    <cfRule type="cellIs" dxfId="633" priority="29" stopIfTrue="1" operator="lessThan">
      <formula>0</formula>
    </cfRule>
  </conditionalFormatting>
  <conditionalFormatting sqref="K123:M128 A127:H128">
    <cfRule type="cellIs" dxfId="632" priority="26" stopIfTrue="1" operator="lessThan">
      <formula>0</formula>
    </cfRule>
  </conditionalFormatting>
  <conditionalFormatting sqref="K138:M143 A142:H143">
    <cfRule type="cellIs" dxfId="631" priority="23" stopIfTrue="1" operator="lessThan">
      <formula>0</formula>
    </cfRule>
  </conditionalFormatting>
  <conditionalFormatting sqref="K153:M158 A157:H158">
    <cfRule type="cellIs" dxfId="630" priority="20" stopIfTrue="1" operator="lessThan">
      <formula>0</formula>
    </cfRule>
  </conditionalFormatting>
  <conditionalFormatting sqref="K168:M173 A172:H173">
    <cfRule type="cellIs" dxfId="629" priority="17" stopIfTrue="1" operator="lessThan">
      <formula>0</formula>
    </cfRule>
  </conditionalFormatting>
  <conditionalFormatting sqref="K183:M188 A187:H188">
    <cfRule type="cellIs" dxfId="628" priority="14" stopIfTrue="1" operator="lessThan">
      <formula>0</formula>
    </cfRule>
  </conditionalFormatting>
  <conditionalFormatting sqref="C23">
    <cfRule type="cellIs" dxfId="627" priority="11" stopIfTrue="1" operator="lessThan">
      <formula>0</formula>
    </cfRule>
  </conditionalFormatting>
  <conditionalFormatting sqref="A1:C1 E1:J1 K7:M8 I7:J17 K9:L11 A11:H14 E15:F15 H15 A33:N36 A48:O51 A69:O72 C7:H10 A7:A10">
    <cfRule type="cellIs" dxfId="626" priority="46" stopIfTrue="1" operator="lessThan">
      <formula>0</formula>
    </cfRule>
  </conditionalFormatting>
  <conditionalFormatting sqref="A2:O6">
    <cfRule type="cellIs" dxfId="625" priority="44" stopIfTrue="1" operator="lessThan">
      <formula>0</formula>
    </cfRule>
  </conditionalFormatting>
  <conditionalFormatting sqref="D4">
    <cfRule type="cellIs" dxfId="624" priority="45" operator="lessThan">
      <formula>0</formula>
    </cfRule>
  </conditionalFormatting>
  <conditionalFormatting sqref="E21:J21">
    <cfRule type="cellIs" dxfId="623" priority="47" stopIfTrue="1" operator="lessThan">
      <formula>0</formula>
    </cfRule>
  </conditionalFormatting>
  <conditionalFormatting sqref="K12:M17 A16:H17 A18:M21">
    <cfRule type="cellIs" dxfId="622" priority="48" stopIfTrue="1" operator="lessThan">
      <formula>0</formula>
    </cfRule>
  </conditionalFormatting>
  <conditionalFormatting sqref="K78:M83 A82:H83">
    <cfRule type="cellIs" dxfId="621" priority="35" stopIfTrue="1" operator="lessThan">
      <formula>0</formula>
    </cfRule>
  </conditionalFormatting>
  <conditionalFormatting sqref="N7:N32 K22:M23 I22:J32 K24:L26 E30:F30 H30 B22:H22 C24:H29 E23:H23 B23:B31">
    <cfRule type="cellIs" dxfId="620" priority="42" stopIfTrue="1" operator="lessThan">
      <formula>0</formula>
    </cfRule>
  </conditionalFormatting>
  <conditionalFormatting sqref="O7:O47">
    <cfRule type="cellIs" dxfId="619" priority="41" stopIfTrue="1" operator="lessThan">
      <formula>0</formula>
    </cfRule>
  </conditionalFormatting>
  <conditionalFormatting sqref="E60:F60 H60 N60:O61 I60:J61">
    <cfRule type="cellIs" dxfId="618" priority="7" stopIfTrue="1" operator="lessThan">
      <formula>0</formula>
    </cfRule>
  </conditionalFormatting>
  <conditionalFormatting sqref="K60:M61 C61:H61">
    <cfRule type="cellIs" dxfId="617" priority="8" stopIfTrue="1" operator="lessThan">
      <formula>0</formula>
    </cfRule>
  </conditionalFormatting>
  <conditionalFormatting sqref="I63:J63 N63:O63">
    <cfRule type="cellIs" dxfId="616" priority="5" stopIfTrue="1" operator="lessThan">
      <formula>0</formula>
    </cfRule>
  </conditionalFormatting>
  <conditionalFormatting sqref="K63:M63 C63:H63">
    <cfRule type="cellIs" dxfId="615" priority="6" stopIfTrue="1" operator="lessThan">
      <formula>0</formula>
    </cfRule>
  </conditionalFormatting>
  <conditionalFormatting sqref="I66:J66 N66:O66">
    <cfRule type="cellIs" dxfId="614" priority="3" stopIfTrue="1" operator="lessThan">
      <formula>0</formula>
    </cfRule>
  </conditionalFormatting>
  <conditionalFormatting sqref="K66:M66 C66:H66">
    <cfRule type="cellIs" dxfId="613" priority="4" stopIfTrue="1" operator="lessThan">
      <formula>0</formula>
    </cfRule>
  </conditionalFormatting>
  <conditionalFormatting sqref="I64:J65 N64:O65">
    <cfRule type="cellIs" dxfId="612" priority="1" stopIfTrue="1" operator="lessThan">
      <formula>0</formula>
    </cfRule>
  </conditionalFormatting>
  <conditionalFormatting sqref="K64:M65 C64:H65">
    <cfRule type="cellIs" dxfId="611" priority="2" stopIfTrue="1" operator="lessThan">
      <formula>0</formula>
    </cfRule>
  </conditionalFormatting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CC99"/>
    <pageSetUpPr fitToPage="1"/>
  </sheetPr>
  <dimension ref="A1:BA337"/>
  <sheetViews>
    <sheetView zoomScale="85" zoomScaleNormal="85" workbookViewId="0">
      <pane xSplit="3" ySplit="5" topLeftCell="E126" activePane="bottomRight" state="frozen"/>
      <selection activeCell="E13" sqref="E13"/>
      <selection pane="topRight" activeCell="E13" sqref="E13"/>
      <selection pane="bottomLeft" activeCell="E13" sqref="E13"/>
      <selection pane="bottomRight" activeCell="L140" sqref="L140"/>
    </sheetView>
  </sheetViews>
  <sheetFormatPr defaultColWidth="14.42578125" defaultRowHeight="15" customHeight="1" x14ac:dyDescent="0.3"/>
  <cols>
    <col min="1" max="1" width="15" style="714" customWidth="1"/>
    <col min="2" max="2" width="16.140625" style="1012" customWidth="1"/>
    <col min="3" max="3" width="23" style="1012" customWidth="1"/>
    <col min="4" max="4" width="104.5703125" style="1012" customWidth="1"/>
    <col min="5" max="33" width="16.85546875" style="1012" customWidth="1"/>
    <col min="34" max="34" width="16.85546875" style="721" customWidth="1"/>
    <col min="35" max="35" width="18.28515625" style="942" customWidth="1"/>
    <col min="36" max="36" width="23.85546875" style="1012" bestFit="1" customWidth="1"/>
    <col min="37" max="37" width="17.7109375" style="1012" customWidth="1"/>
    <col min="38" max="38" width="21.5703125" style="766" customWidth="1"/>
    <col min="39" max="39" width="14" style="770" customWidth="1"/>
    <col min="40" max="40" width="21" style="1012" customWidth="1"/>
    <col min="41" max="41" width="16" style="1012" customWidth="1"/>
    <col min="42" max="42" width="16.140625" style="1012" customWidth="1"/>
    <col min="43" max="43" width="15.85546875" style="1012" customWidth="1"/>
    <col min="44" max="45" width="16" style="1012" customWidth="1"/>
    <col min="46" max="46" width="16.140625" style="1012" customWidth="1"/>
    <col min="47" max="47" width="15.85546875" style="1012" customWidth="1"/>
    <col min="48" max="48" width="16.140625" style="1012" customWidth="1"/>
    <col min="49" max="50" width="16" style="1012" customWidth="1"/>
    <col min="51" max="52" width="16.140625" style="1012" customWidth="1"/>
    <col min="53" max="53" width="16" style="1012" customWidth="1"/>
    <col min="54" max="16384" width="14.42578125" style="1012"/>
  </cols>
  <sheetData>
    <row r="1" spans="1:53" ht="18.75" customHeight="1" x14ac:dyDescent="0.3">
      <c r="A1" s="733"/>
      <c r="B1" s="171"/>
      <c r="C1" s="42"/>
      <c r="D1" s="747" t="s">
        <v>1216</v>
      </c>
      <c r="E1" s="37"/>
      <c r="F1" s="37"/>
      <c r="G1" s="37"/>
      <c r="H1" s="37"/>
      <c r="I1" s="37"/>
      <c r="J1" s="37"/>
      <c r="K1" s="37"/>
      <c r="L1" s="966"/>
      <c r="M1" s="37"/>
      <c r="N1" s="37"/>
      <c r="O1" s="37"/>
      <c r="P1" s="37"/>
      <c r="Q1" s="37"/>
      <c r="R1" s="37"/>
      <c r="S1" s="37"/>
      <c r="T1" s="1216" t="s">
        <v>280</v>
      </c>
      <c r="U1" s="1217"/>
      <c r="V1" s="1217"/>
      <c r="W1" s="1217"/>
      <c r="X1" s="1217"/>
      <c r="Y1" s="1217"/>
      <c r="Z1" s="1217"/>
      <c r="AA1" s="1217"/>
      <c r="AB1" s="1218"/>
      <c r="AC1" s="37"/>
      <c r="AD1" s="37"/>
      <c r="AE1" s="1219" t="s">
        <v>1237</v>
      </c>
      <c r="AF1" s="1219"/>
      <c r="AG1" s="1219"/>
      <c r="AH1" s="788"/>
      <c r="AI1" s="937"/>
      <c r="AJ1" s="42"/>
      <c r="AK1" s="494"/>
      <c r="AL1" s="764"/>
      <c r="AM1" s="769"/>
      <c r="AN1" s="481"/>
      <c r="AO1" s="395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</row>
    <row r="2" spans="1:53" ht="75" x14ac:dyDescent="0.3">
      <c r="A2" s="749" t="s">
        <v>201</v>
      </c>
      <c r="B2" s="750" t="s">
        <v>202</v>
      </c>
      <c r="C2" s="750" t="s">
        <v>1198</v>
      </c>
      <c r="D2" s="750" t="s">
        <v>77</v>
      </c>
      <c r="E2" s="495" t="s">
        <v>281</v>
      </c>
      <c r="F2" s="495" t="s">
        <v>282</v>
      </c>
      <c r="G2" s="496" t="s">
        <v>283</v>
      </c>
      <c r="H2" s="496" t="s">
        <v>284</v>
      </c>
      <c r="I2" s="496" t="s">
        <v>1229</v>
      </c>
      <c r="J2" s="496" t="s">
        <v>1230</v>
      </c>
      <c r="K2" s="496" t="s">
        <v>1231</v>
      </c>
      <c r="L2" s="497" t="s">
        <v>288</v>
      </c>
      <c r="M2" s="497" t="s">
        <v>1232</v>
      </c>
      <c r="N2" s="498" t="s">
        <v>290</v>
      </c>
      <c r="O2" s="1020" t="s">
        <v>1233</v>
      </c>
      <c r="P2" s="1020" t="s">
        <v>292</v>
      </c>
      <c r="Q2" s="1020" t="s">
        <v>293</v>
      </c>
      <c r="R2" s="1020" t="s">
        <v>294</v>
      </c>
      <c r="S2" s="1020" t="s">
        <v>295</v>
      </c>
      <c r="T2" s="496" t="s">
        <v>1239</v>
      </c>
      <c r="U2" s="496" t="s">
        <v>1238</v>
      </c>
      <c r="V2" s="496" t="s">
        <v>298</v>
      </c>
      <c r="W2" s="496" t="s">
        <v>1240</v>
      </c>
      <c r="X2" s="496" t="s">
        <v>1241</v>
      </c>
      <c r="Y2" s="496" t="s">
        <v>1242</v>
      </c>
      <c r="Z2" s="496" t="s">
        <v>1243</v>
      </c>
      <c r="AA2" s="892" t="s">
        <v>1244</v>
      </c>
      <c r="AB2" s="889" t="s">
        <v>1245</v>
      </c>
      <c r="AC2" s="1020" t="s">
        <v>304</v>
      </c>
      <c r="AD2" s="1020" t="s">
        <v>305</v>
      </c>
      <c r="AE2" s="1074" t="s">
        <v>1234</v>
      </c>
      <c r="AF2" s="1074" t="s">
        <v>1235</v>
      </c>
      <c r="AG2" s="1074" t="s">
        <v>1236</v>
      </c>
      <c r="AH2" s="1075" t="s">
        <v>208</v>
      </c>
      <c r="AI2" s="865" t="s">
        <v>273</v>
      </c>
      <c r="AJ2" s="866" t="s">
        <v>274</v>
      </c>
      <c r="AK2" s="867" t="s">
        <v>275</v>
      </c>
      <c r="AL2" s="868" t="s">
        <v>276</v>
      </c>
      <c r="AM2" s="869" t="s">
        <v>86</v>
      </c>
      <c r="AN2" s="758" t="s">
        <v>277</v>
      </c>
      <c r="AO2" s="473" t="s">
        <v>1217</v>
      </c>
      <c r="AP2" s="473" t="s">
        <v>1218</v>
      </c>
      <c r="AQ2" s="473" t="s">
        <v>1219</v>
      </c>
      <c r="AR2" s="473" t="s">
        <v>1220</v>
      </c>
      <c r="AS2" s="473" t="s">
        <v>1221</v>
      </c>
      <c r="AT2" s="473" t="s">
        <v>1222</v>
      </c>
      <c r="AU2" s="473" t="s">
        <v>1223</v>
      </c>
      <c r="AV2" s="473" t="s">
        <v>1224</v>
      </c>
      <c r="AW2" s="473" t="s">
        <v>1225</v>
      </c>
      <c r="AX2" s="473" t="s">
        <v>1226</v>
      </c>
      <c r="AY2" s="473" t="s">
        <v>1227</v>
      </c>
      <c r="AZ2" s="473" t="s">
        <v>1228</v>
      </c>
      <c r="BA2" s="473" t="s">
        <v>306</v>
      </c>
    </row>
    <row r="3" spans="1:53" s="721" customFormat="1" ht="18.75" customHeight="1" x14ac:dyDescent="0.3">
      <c r="A3" s="1022"/>
      <c r="B3" s="852"/>
      <c r="C3" s="1023"/>
      <c r="D3" s="799" t="s">
        <v>209</v>
      </c>
      <c r="E3" s="1024">
        <v>0</v>
      </c>
      <c r="F3" s="1024">
        <v>0</v>
      </c>
      <c r="G3" s="1024"/>
      <c r="H3" s="1024"/>
      <c r="I3" s="1024">
        <v>0</v>
      </c>
      <c r="J3" s="1024"/>
      <c r="K3" s="1024"/>
      <c r="L3" s="1024"/>
      <c r="M3" s="1024">
        <v>0</v>
      </c>
      <c r="N3" s="890"/>
      <c r="O3" s="1024">
        <v>0</v>
      </c>
      <c r="P3" s="1024">
        <v>0</v>
      </c>
      <c r="Q3" s="1024">
        <v>0</v>
      </c>
      <c r="R3" s="1024">
        <v>0</v>
      </c>
      <c r="S3" s="1024">
        <v>0</v>
      </c>
      <c r="T3" s="1024">
        <v>0</v>
      </c>
      <c r="U3" s="1024">
        <v>0</v>
      </c>
      <c r="V3" s="1024">
        <v>0</v>
      </c>
      <c r="W3" s="1024">
        <v>0</v>
      </c>
      <c r="X3" s="1024">
        <v>0</v>
      </c>
      <c r="Y3" s="1024">
        <v>0</v>
      </c>
      <c r="Z3" s="1024">
        <v>0</v>
      </c>
      <c r="AA3" s="893">
        <v>0</v>
      </c>
      <c r="AB3" s="890">
        <v>0</v>
      </c>
      <c r="AC3" s="1024">
        <v>0</v>
      </c>
      <c r="AD3" s="1024">
        <v>0</v>
      </c>
      <c r="AE3" s="1024">
        <v>0</v>
      </c>
      <c r="AF3" s="1024">
        <v>0</v>
      </c>
      <c r="AG3" s="1024">
        <v>0</v>
      </c>
      <c r="AH3" s="1024">
        <f>SUM(E3:AG3)</f>
        <v>0</v>
      </c>
      <c r="AI3" s="938"/>
      <c r="AJ3" s="726"/>
      <c r="AK3" s="782"/>
      <c r="AL3" s="861"/>
      <c r="AM3" s="862"/>
      <c r="AN3" s="853"/>
      <c r="AO3" s="854"/>
      <c r="AP3" s="725"/>
      <c r="AQ3" s="725"/>
      <c r="AR3" s="725"/>
      <c r="AS3" s="725"/>
      <c r="AT3" s="725"/>
      <c r="AU3" s="725"/>
      <c r="AV3" s="725"/>
      <c r="AW3" s="725"/>
      <c r="AX3" s="725"/>
      <c r="AY3" s="725"/>
      <c r="AZ3" s="725"/>
      <c r="BA3" s="725"/>
    </row>
    <row r="4" spans="1:53" s="721" customFormat="1" ht="18.75" customHeight="1" x14ac:dyDescent="0.3">
      <c r="A4" s="1025"/>
      <c r="B4" s="855"/>
      <c r="C4" s="1026"/>
      <c r="D4" s="800" t="s">
        <v>1203</v>
      </c>
      <c r="E4" s="807">
        <v>566800</v>
      </c>
      <c r="F4" s="807">
        <v>150000</v>
      </c>
      <c r="G4" s="807">
        <v>328000</v>
      </c>
      <c r="H4" s="807">
        <v>0</v>
      </c>
      <c r="I4" s="725">
        <v>0</v>
      </c>
      <c r="J4" s="807">
        <v>0</v>
      </c>
      <c r="K4" s="807">
        <v>0</v>
      </c>
      <c r="L4" s="807">
        <v>247900</v>
      </c>
      <c r="M4" s="807">
        <v>0</v>
      </c>
      <c r="N4" s="891">
        <v>0</v>
      </c>
      <c r="O4" s="807">
        <v>250000</v>
      </c>
      <c r="P4" s="807">
        <v>140000</v>
      </c>
      <c r="Q4" s="807">
        <v>0</v>
      </c>
      <c r="R4" s="807">
        <v>0</v>
      </c>
      <c r="S4" s="807">
        <v>0</v>
      </c>
      <c r="T4" s="807">
        <v>214000</v>
      </c>
      <c r="U4" s="807">
        <v>388945</v>
      </c>
      <c r="V4" s="807">
        <v>74900</v>
      </c>
      <c r="W4" s="807">
        <v>1193659</v>
      </c>
      <c r="X4" s="807">
        <v>1504800</v>
      </c>
      <c r="Y4" s="807">
        <v>189600</v>
      </c>
      <c r="Z4" s="807">
        <v>99296</v>
      </c>
      <c r="AA4" s="894">
        <v>160000</v>
      </c>
      <c r="AB4" s="891">
        <v>174800</v>
      </c>
      <c r="AC4" s="807">
        <v>198000</v>
      </c>
      <c r="AD4" s="807">
        <v>0</v>
      </c>
      <c r="AE4" s="807">
        <v>8500000</v>
      </c>
      <c r="AF4" s="807">
        <v>716400</v>
      </c>
      <c r="AG4" s="807">
        <v>1113800</v>
      </c>
      <c r="AH4" s="807">
        <f>SUM(E4:AG4)</f>
        <v>16210900</v>
      </c>
      <c r="AI4" s="938"/>
      <c r="AJ4" s="726"/>
      <c r="AK4" s="782">
        <f>SUM(AK6:AK45)</f>
        <v>943344.16999999993</v>
      </c>
      <c r="AL4" s="762">
        <f>SUM(AL6:AL45)</f>
        <v>0</v>
      </c>
      <c r="AM4" s="768">
        <f>SUM(AM6:AM45)</f>
        <v>2186428.58</v>
      </c>
      <c r="AN4" s="856"/>
      <c r="AO4" s="854"/>
      <c r="AP4" s="725"/>
      <c r="AQ4" s="725"/>
      <c r="AR4" s="725"/>
      <c r="AS4" s="725"/>
      <c r="AT4" s="725"/>
      <c r="AU4" s="725"/>
      <c r="AV4" s="725"/>
      <c r="AW4" s="725"/>
      <c r="AX4" s="725"/>
      <c r="AY4" s="725"/>
      <c r="AZ4" s="725"/>
      <c r="BA4" s="725"/>
    </row>
    <row r="5" spans="1:53" s="721" customFormat="1" ht="18.75" customHeight="1" x14ac:dyDescent="0.3">
      <c r="A5" s="1076"/>
      <c r="B5" s="855"/>
      <c r="C5" s="1077"/>
      <c r="D5" s="815" t="s">
        <v>211</v>
      </c>
      <c r="E5" s="753"/>
      <c r="F5" s="753"/>
      <c r="G5" s="753"/>
      <c r="H5" s="753"/>
      <c r="I5" s="753"/>
      <c r="J5" s="753"/>
      <c r="K5" s="753"/>
      <c r="L5" s="753"/>
      <c r="M5" s="753"/>
      <c r="N5" s="756"/>
      <c r="O5" s="753"/>
      <c r="P5" s="756"/>
      <c r="Q5" s="753"/>
      <c r="R5" s="753"/>
      <c r="S5" s="753"/>
      <c r="T5" s="753"/>
      <c r="U5" s="756"/>
      <c r="V5" s="753"/>
      <c r="W5" s="756"/>
      <c r="X5" s="753"/>
      <c r="Y5" s="756"/>
      <c r="Z5" s="753"/>
      <c r="AA5" s="895"/>
      <c r="AB5" s="754"/>
      <c r="AC5" s="753"/>
      <c r="AD5" s="753"/>
      <c r="AE5" s="753"/>
      <c r="AF5" s="753"/>
      <c r="AG5" s="753"/>
      <c r="AH5" s="807">
        <f>SUM(E5:AG5)</f>
        <v>0</v>
      </c>
      <c r="AI5" s="939"/>
      <c r="AJ5" s="857"/>
      <c r="AK5" s="858"/>
      <c r="AL5" s="795"/>
      <c r="AM5" s="796"/>
      <c r="AN5" s="859"/>
      <c r="AO5" s="860"/>
      <c r="AP5" s="756"/>
      <c r="AQ5" s="756"/>
      <c r="AR5" s="756"/>
      <c r="AS5" s="756"/>
      <c r="AT5" s="756"/>
      <c r="AU5" s="756"/>
      <c r="AV5" s="756"/>
      <c r="AW5" s="756"/>
      <c r="AX5" s="756"/>
      <c r="AY5" s="756"/>
      <c r="AZ5" s="756"/>
      <c r="BA5" s="756"/>
    </row>
    <row r="6" spans="1:53" ht="18.75" customHeight="1" x14ac:dyDescent="0.3">
      <c r="A6" s="1027" t="s">
        <v>212</v>
      </c>
      <c r="B6" s="2"/>
      <c r="C6" s="1028"/>
      <c r="D6" s="29"/>
      <c r="E6" s="1029"/>
      <c r="F6" s="1029"/>
      <c r="G6" s="1029"/>
      <c r="H6" s="1029"/>
      <c r="I6" s="1029"/>
      <c r="J6" s="1029"/>
      <c r="K6" s="1029"/>
      <c r="L6" s="1029"/>
      <c r="M6" s="1029"/>
      <c r="N6" s="4"/>
      <c r="O6" s="1029"/>
      <c r="P6" s="4"/>
      <c r="Q6" s="1029"/>
      <c r="R6" s="1029"/>
      <c r="S6" s="1029"/>
      <c r="T6" s="1029"/>
      <c r="U6" s="4"/>
      <c r="V6" s="1029"/>
      <c r="W6" s="4"/>
      <c r="X6" s="1029"/>
      <c r="Y6" s="4"/>
      <c r="Z6" s="1029"/>
      <c r="AA6" s="896"/>
      <c r="AB6" s="879"/>
      <c r="AC6" s="1029"/>
      <c r="AD6" s="1029"/>
      <c r="AE6" s="1029"/>
      <c r="AF6" s="1029"/>
      <c r="AG6" s="1029"/>
      <c r="AH6" s="807"/>
      <c r="AI6" s="937"/>
      <c r="AJ6" s="27"/>
      <c r="AK6" s="873"/>
      <c r="AL6" s="861"/>
      <c r="AM6" s="863"/>
      <c r="AN6" s="877"/>
      <c r="AO6" s="878"/>
      <c r="AP6" s="879"/>
      <c r="AQ6" s="879"/>
      <c r="AR6" s="879"/>
      <c r="AS6" s="880"/>
      <c r="AT6" s="880"/>
      <c r="AU6" s="880"/>
      <c r="AV6" s="880"/>
      <c r="AW6" s="880"/>
      <c r="AX6" s="880"/>
      <c r="AY6" s="880"/>
      <c r="AZ6" s="880"/>
      <c r="BA6" s="880"/>
    </row>
    <row r="7" spans="1:53" ht="37.5" x14ac:dyDescent="0.3">
      <c r="A7" s="957">
        <v>45548</v>
      </c>
      <c r="B7" s="171" t="s">
        <v>1283</v>
      </c>
      <c r="C7" s="955" t="s">
        <v>1284</v>
      </c>
      <c r="D7" s="34" t="s">
        <v>1282</v>
      </c>
      <c r="E7" s="684"/>
      <c r="F7" s="684"/>
      <c r="G7" s="684"/>
      <c r="H7" s="684"/>
      <c r="I7" s="684"/>
      <c r="J7" s="684"/>
      <c r="K7" s="684"/>
      <c r="L7" s="684"/>
      <c r="M7" s="684"/>
      <c r="N7" s="37"/>
      <c r="O7" s="684"/>
      <c r="P7" s="37">
        <v>2490</v>
      </c>
      <c r="Q7" s="684"/>
      <c r="R7" s="684"/>
      <c r="S7" s="684"/>
      <c r="T7" s="684"/>
      <c r="U7" s="37"/>
      <c r="V7" s="684"/>
      <c r="W7" s="37"/>
      <c r="X7" s="684"/>
      <c r="Y7" s="37"/>
      <c r="Z7" s="684"/>
      <c r="AA7" s="897"/>
      <c r="AB7" s="870"/>
      <c r="AC7" s="684"/>
      <c r="AD7" s="684"/>
      <c r="AE7" s="684"/>
      <c r="AF7" s="684"/>
      <c r="AG7" s="684"/>
      <c r="AH7" s="807">
        <f t="shared" ref="AH7:AH48" si="0">SUM(E7:AG7)</f>
        <v>2490</v>
      </c>
      <c r="AI7" s="937">
        <v>45594</v>
      </c>
      <c r="AJ7" s="42" t="s">
        <v>1285</v>
      </c>
      <c r="AK7" s="494">
        <v>2490</v>
      </c>
      <c r="AL7" s="764"/>
      <c r="AM7" s="769">
        <f>AH7-AK7-AL7</f>
        <v>0</v>
      </c>
      <c r="AN7" s="881"/>
      <c r="AO7" s="882"/>
      <c r="AP7" s="870"/>
      <c r="AQ7" s="870"/>
      <c r="AR7" s="870"/>
      <c r="AS7" s="870"/>
      <c r="AT7" s="870"/>
      <c r="AU7" s="870"/>
      <c r="AV7" s="870"/>
      <c r="AW7" s="870"/>
      <c r="AX7" s="870"/>
      <c r="AY7" s="870"/>
      <c r="AZ7" s="870"/>
      <c r="BA7" s="870">
        <f>SUM(AO7:AZ7)</f>
        <v>0</v>
      </c>
    </row>
    <row r="8" spans="1:53" ht="37.5" x14ac:dyDescent="0.3">
      <c r="A8" s="957">
        <v>45548</v>
      </c>
      <c r="B8" s="171" t="s">
        <v>1288</v>
      </c>
      <c r="C8" s="955" t="s">
        <v>1287</v>
      </c>
      <c r="D8" s="34" t="s">
        <v>1286</v>
      </c>
      <c r="E8" s="684"/>
      <c r="F8" s="684"/>
      <c r="G8" s="684"/>
      <c r="H8" s="684"/>
      <c r="I8" s="684"/>
      <c r="J8" s="684"/>
      <c r="K8" s="684"/>
      <c r="L8" s="684"/>
      <c r="M8" s="684"/>
      <c r="N8" s="37"/>
      <c r="O8" s="684"/>
      <c r="P8" s="37">
        <v>7000</v>
      </c>
      <c r="Q8" s="684"/>
      <c r="R8" s="684"/>
      <c r="S8" s="684"/>
      <c r="T8" s="684"/>
      <c r="U8" s="37"/>
      <c r="V8" s="684"/>
      <c r="W8" s="37"/>
      <c r="X8" s="684"/>
      <c r="Y8" s="37"/>
      <c r="Z8" s="684"/>
      <c r="AA8" s="897"/>
      <c r="AB8" s="870"/>
      <c r="AC8" s="684"/>
      <c r="AD8" s="684"/>
      <c r="AE8" s="684"/>
      <c r="AF8" s="684"/>
      <c r="AG8" s="684"/>
      <c r="AH8" s="807">
        <f t="shared" si="0"/>
        <v>7000</v>
      </c>
      <c r="AI8" s="937"/>
      <c r="AJ8" s="42"/>
      <c r="AK8" s="494"/>
      <c r="AL8" s="764"/>
      <c r="AM8" s="769">
        <f t="shared" ref="AM8:AM45" si="1">AH8-AK8-AL8</f>
        <v>7000</v>
      </c>
      <c r="AN8" s="881"/>
      <c r="AO8" s="882"/>
      <c r="AP8" s="870"/>
      <c r="AQ8" s="870"/>
      <c r="AR8" s="870"/>
      <c r="AS8" s="870"/>
      <c r="AT8" s="870"/>
      <c r="AU8" s="870"/>
      <c r="AV8" s="870"/>
      <c r="AW8" s="870"/>
      <c r="AX8" s="870"/>
      <c r="AY8" s="870"/>
      <c r="AZ8" s="870"/>
      <c r="BA8" s="870">
        <f t="shared" ref="BA8:BA45" si="2">SUM(AO8:AZ8)</f>
        <v>0</v>
      </c>
    </row>
    <row r="9" spans="1:53" ht="37.5" x14ac:dyDescent="0.3">
      <c r="A9" s="957">
        <v>45551</v>
      </c>
      <c r="B9" s="171" t="s">
        <v>1292</v>
      </c>
      <c r="C9" s="955" t="s">
        <v>1291</v>
      </c>
      <c r="D9" s="34" t="s">
        <v>1290</v>
      </c>
      <c r="E9" s="684"/>
      <c r="F9" s="684"/>
      <c r="G9" s="684"/>
      <c r="H9" s="684"/>
      <c r="I9" s="684"/>
      <c r="J9" s="684"/>
      <c r="K9" s="684"/>
      <c r="L9" s="684"/>
      <c r="M9" s="684"/>
      <c r="N9" s="37"/>
      <c r="O9" s="684"/>
      <c r="P9" s="37">
        <v>3000</v>
      </c>
      <c r="Q9" s="684"/>
      <c r="R9" s="684"/>
      <c r="S9" s="684"/>
      <c r="T9" s="684"/>
      <c r="U9" s="37"/>
      <c r="V9" s="684"/>
      <c r="W9" s="37"/>
      <c r="X9" s="684"/>
      <c r="Y9" s="37"/>
      <c r="Z9" s="684"/>
      <c r="AA9" s="897"/>
      <c r="AB9" s="870"/>
      <c r="AC9" s="684"/>
      <c r="AD9" s="684"/>
      <c r="AE9" s="684"/>
      <c r="AF9" s="684"/>
      <c r="AG9" s="684"/>
      <c r="AH9" s="807">
        <f t="shared" si="0"/>
        <v>3000</v>
      </c>
      <c r="AI9" s="937">
        <v>45594</v>
      </c>
      <c r="AJ9" s="65" t="s">
        <v>1293</v>
      </c>
      <c r="AK9" s="494">
        <v>2780</v>
      </c>
      <c r="AL9" s="764"/>
      <c r="AM9" s="769">
        <f t="shared" si="1"/>
        <v>220</v>
      </c>
      <c r="AN9" s="881"/>
      <c r="AO9" s="882"/>
      <c r="AP9" s="870"/>
      <c r="AQ9" s="870"/>
      <c r="AR9" s="870"/>
      <c r="AS9" s="870"/>
      <c r="AT9" s="870"/>
      <c r="AU9" s="870"/>
      <c r="AV9" s="870"/>
      <c r="AW9" s="870"/>
      <c r="AX9" s="870"/>
      <c r="AY9" s="870"/>
      <c r="AZ9" s="870"/>
      <c r="BA9" s="870">
        <f t="shared" si="2"/>
        <v>0</v>
      </c>
    </row>
    <row r="10" spans="1:53" ht="56.25" x14ac:dyDescent="0.3">
      <c r="A10" s="957">
        <v>45560</v>
      </c>
      <c r="B10" s="171" t="s">
        <v>1298</v>
      </c>
      <c r="C10" s="840" t="s">
        <v>1296</v>
      </c>
      <c r="D10" s="34" t="s">
        <v>1294</v>
      </c>
      <c r="E10" s="684"/>
      <c r="F10" s="684"/>
      <c r="G10" s="684"/>
      <c r="H10" s="684"/>
      <c r="I10" s="684"/>
      <c r="J10" s="684"/>
      <c r="K10" s="684"/>
      <c r="L10" s="684"/>
      <c r="M10" s="684"/>
      <c r="N10" s="37"/>
      <c r="O10" s="684"/>
      <c r="P10" s="37">
        <v>5000</v>
      </c>
      <c r="Q10" s="684"/>
      <c r="R10" s="684"/>
      <c r="S10" s="684"/>
      <c r="T10" s="684"/>
      <c r="U10" s="37"/>
      <c r="V10" s="684"/>
      <c r="W10" s="37"/>
      <c r="X10" s="684"/>
      <c r="Y10" s="37"/>
      <c r="Z10" s="684"/>
      <c r="AA10" s="897"/>
      <c r="AB10" s="870"/>
      <c r="AC10" s="684"/>
      <c r="AD10" s="684"/>
      <c r="AE10" s="684"/>
      <c r="AF10" s="684"/>
      <c r="AG10" s="684"/>
      <c r="AH10" s="807">
        <f t="shared" si="0"/>
        <v>5000</v>
      </c>
      <c r="AI10" s="940">
        <v>45651</v>
      </c>
      <c r="AJ10" s="874" t="s">
        <v>1615</v>
      </c>
      <c r="AK10" s="875">
        <v>700</v>
      </c>
      <c r="AL10" s="764"/>
      <c r="AM10" s="769">
        <f t="shared" si="1"/>
        <v>4300</v>
      </c>
      <c r="AN10" s="881"/>
      <c r="AO10" s="882"/>
      <c r="AP10" s="870"/>
      <c r="AQ10" s="870"/>
      <c r="AR10" s="870"/>
      <c r="AS10" s="870"/>
      <c r="AT10" s="870"/>
      <c r="AU10" s="870"/>
      <c r="AV10" s="870"/>
      <c r="AW10" s="870"/>
      <c r="AX10" s="870"/>
      <c r="AY10" s="870"/>
      <c r="AZ10" s="870"/>
      <c r="BA10" s="870">
        <f t="shared" si="2"/>
        <v>0</v>
      </c>
    </row>
    <row r="11" spans="1:53" ht="18.75" x14ac:dyDescent="0.3">
      <c r="A11" s="957">
        <v>45566</v>
      </c>
      <c r="B11" s="171" t="s">
        <v>1299</v>
      </c>
      <c r="C11" s="955" t="s">
        <v>1297</v>
      </c>
      <c r="D11" s="34" t="s">
        <v>1295</v>
      </c>
      <c r="E11" s="684"/>
      <c r="F11" s="684"/>
      <c r="G11" s="684"/>
      <c r="H11" s="684"/>
      <c r="I11" s="684"/>
      <c r="J11" s="684"/>
      <c r="K11" s="684"/>
      <c r="L11" s="684">
        <v>315</v>
      </c>
      <c r="M11" s="684"/>
      <c r="N11" s="37"/>
      <c r="O11" s="684"/>
      <c r="P11" s="37"/>
      <c r="Q11" s="684"/>
      <c r="R11" s="684"/>
      <c r="S11" s="684"/>
      <c r="T11" s="684"/>
      <c r="U11" s="37"/>
      <c r="V11" s="684"/>
      <c r="W11" s="37"/>
      <c r="X11" s="684"/>
      <c r="Y11" s="37"/>
      <c r="Z11" s="684"/>
      <c r="AA11" s="897"/>
      <c r="AB11" s="870"/>
      <c r="AC11" s="684"/>
      <c r="AD11" s="684"/>
      <c r="AE11" s="684"/>
      <c r="AF11" s="684"/>
      <c r="AG11" s="684"/>
      <c r="AH11" s="807">
        <f t="shared" si="0"/>
        <v>315</v>
      </c>
      <c r="AI11" s="940">
        <v>45576</v>
      </c>
      <c r="AJ11" s="874" t="s">
        <v>1300</v>
      </c>
      <c r="AK11" s="494">
        <v>280</v>
      </c>
      <c r="AL11" s="764"/>
      <c r="AM11" s="769">
        <f t="shared" si="1"/>
        <v>35</v>
      </c>
      <c r="AN11" s="881"/>
      <c r="AO11" s="882"/>
      <c r="AP11" s="870"/>
      <c r="AQ11" s="886"/>
      <c r="AR11" s="870"/>
      <c r="AS11" s="870"/>
      <c r="AT11" s="870"/>
      <c r="AU11" s="870"/>
      <c r="AV11" s="870"/>
      <c r="AW11" s="870"/>
      <c r="AX11" s="870"/>
      <c r="AY11" s="870"/>
      <c r="AZ11" s="870"/>
      <c r="BA11" s="870">
        <f t="shared" si="2"/>
        <v>0</v>
      </c>
    </row>
    <row r="12" spans="1:53" ht="22.9" customHeight="1" x14ac:dyDescent="0.3">
      <c r="A12" s="957">
        <v>45567</v>
      </c>
      <c r="B12" s="171" t="s">
        <v>1304</v>
      </c>
      <c r="C12" s="955" t="s">
        <v>1302</v>
      </c>
      <c r="D12" s="34" t="s">
        <v>1516</v>
      </c>
      <c r="E12" s="684"/>
      <c r="F12" s="684"/>
      <c r="G12" s="684"/>
      <c r="H12" s="684"/>
      <c r="I12" s="684"/>
      <c r="J12" s="684"/>
      <c r="K12" s="684"/>
      <c r="L12" s="684">
        <v>385</v>
      </c>
      <c r="M12" s="684"/>
      <c r="N12" s="37"/>
      <c r="O12" s="684"/>
      <c r="P12" s="37"/>
      <c r="Q12" s="684"/>
      <c r="R12" s="684"/>
      <c r="S12" s="684"/>
      <c r="T12" s="684"/>
      <c r="U12" s="37"/>
      <c r="V12" s="684"/>
      <c r="W12" s="37"/>
      <c r="X12" s="684"/>
      <c r="Y12" s="37"/>
      <c r="Z12" s="684"/>
      <c r="AA12" s="897"/>
      <c r="AB12" s="870"/>
      <c r="AC12" s="684"/>
      <c r="AD12" s="684"/>
      <c r="AE12" s="684"/>
      <c r="AF12" s="684"/>
      <c r="AG12" s="684"/>
      <c r="AH12" s="807">
        <f t="shared" si="0"/>
        <v>385</v>
      </c>
      <c r="AI12" s="940">
        <v>45576</v>
      </c>
      <c r="AJ12" s="874" t="s">
        <v>1305</v>
      </c>
      <c r="AK12" s="494">
        <v>280</v>
      </c>
      <c r="AL12" s="764"/>
      <c r="AM12" s="769">
        <f t="shared" si="1"/>
        <v>105</v>
      </c>
      <c r="AN12" s="881"/>
      <c r="AO12" s="882"/>
      <c r="AP12" s="870"/>
      <c r="AQ12" s="870"/>
      <c r="AR12" s="870"/>
      <c r="AS12" s="870"/>
      <c r="AT12" s="870"/>
      <c r="AU12" s="870"/>
      <c r="AV12" s="870"/>
      <c r="AW12" s="870"/>
      <c r="AX12" s="870"/>
      <c r="AY12" s="870"/>
      <c r="AZ12" s="870"/>
      <c r="BA12" s="870">
        <f t="shared" si="2"/>
        <v>0</v>
      </c>
    </row>
    <row r="13" spans="1:53" ht="18.75" x14ac:dyDescent="0.3">
      <c r="A13" s="957">
        <v>45567</v>
      </c>
      <c r="B13" s="171" t="s">
        <v>1473</v>
      </c>
      <c r="C13" s="955" t="s">
        <v>1303</v>
      </c>
      <c r="D13" s="34" t="s">
        <v>1301</v>
      </c>
      <c r="E13" s="684"/>
      <c r="F13" s="684"/>
      <c r="G13" s="684"/>
      <c r="H13" s="684"/>
      <c r="I13" s="684"/>
      <c r="J13" s="684"/>
      <c r="K13" s="684"/>
      <c r="L13" s="684"/>
      <c r="M13" s="684"/>
      <c r="N13" s="37"/>
      <c r="O13" s="684"/>
      <c r="P13" s="37">
        <v>6000</v>
      </c>
      <c r="Q13" s="684"/>
      <c r="R13" s="684"/>
      <c r="S13" s="684"/>
      <c r="T13" s="684"/>
      <c r="U13" s="37"/>
      <c r="V13" s="684"/>
      <c r="W13" s="37"/>
      <c r="X13" s="684"/>
      <c r="Y13" s="37"/>
      <c r="Z13" s="684"/>
      <c r="AA13" s="897"/>
      <c r="AB13" s="870"/>
      <c r="AC13" s="684"/>
      <c r="AD13" s="684"/>
      <c r="AE13" s="684"/>
      <c r="AF13" s="684"/>
      <c r="AG13" s="684"/>
      <c r="AH13" s="807">
        <f t="shared" si="0"/>
        <v>6000</v>
      </c>
      <c r="AI13" s="937">
        <v>45601</v>
      </c>
      <c r="AJ13" s="876" t="s">
        <v>1517</v>
      </c>
      <c r="AK13" s="494">
        <v>4550</v>
      </c>
      <c r="AL13" s="764"/>
      <c r="AM13" s="769">
        <f t="shared" si="1"/>
        <v>1450</v>
      </c>
      <c r="AN13" s="881"/>
      <c r="AO13" s="882"/>
      <c r="AP13" s="870"/>
      <c r="AQ13" s="870"/>
      <c r="AR13" s="870"/>
      <c r="AS13" s="870"/>
      <c r="AT13" s="870"/>
      <c r="AU13" s="870"/>
      <c r="AV13" s="870"/>
      <c r="AW13" s="870"/>
      <c r="AX13" s="870"/>
      <c r="AY13" s="870"/>
      <c r="AZ13" s="870"/>
      <c r="BA13" s="870">
        <f t="shared" si="2"/>
        <v>0</v>
      </c>
    </row>
    <row r="14" spans="1:53" ht="37.5" x14ac:dyDescent="0.3">
      <c r="A14" s="957">
        <v>45568</v>
      </c>
      <c r="B14" s="171" t="s">
        <v>1313</v>
      </c>
      <c r="C14" s="955" t="s">
        <v>1312</v>
      </c>
      <c r="D14" s="987" t="s">
        <v>1311</v>
      </c>
      <c r="E14" s="684"/>
      <c r="F14" s="684"/>
      <c r="G14" s="684"/>
      <c r="H14" s="684"/>
      <c r="I14" s="684"/>
      <c r="J14" s="684">
        <v>2600</v>
      </c>
      <c r="K14" s="684"/>
      <c r="L14" s="684"/>
      <c r="M14" s="684"/>
      <c r="N14" s="37"/>
      <c r="O14" s="684"/>
      <c r="P14" s="37"/>
      <c r="Q14" s="684"/>
      <c r="R14" s="684"/>
      <c r="S14" s="684"/>
      <c r="T14" s="684"/>
      <c r="U14" s="37"/>
      <c r="V14" s="684"/>
      <c r="W14" s="37"/>
      <c r="X14" s="684"/>
      <c r="Y14" s="37"/>
      <c r="Z14" s="684"/>
      <c r="AA14" s="897"/>
      <c r="AB14" s="870"/>
      <c r="AC14" s="684"/>
      <c r="AD14" s="684"/>
      <c r="AE14" s="684"/>
      <c r="AF14" s="684"/>
      <c r="AG14" s="684"/>
      <c r="AH14" s="1036">
        <f t="shared" si="0"/>
        <v>2600</v>
      </c>
      <c r="AI14" s="940">
        <v>45621</v>
      </c>
      <c r="AJ14" s="874" t="s">
        <v>1518</v>
      </c>
      <c r="AK14" s="494">
        <v>2600</v>
      </c>
      <c r="AL14" s="764"/>
      <c r="AM14" s="769">
        <f t="shared" si="1"/>
        <v>0</v>
      </c>
      <c r="AN14" s="881"/>
      <c r="AO14" s="882"/>
      <c r="AP14" s="870"/>
      <c r="AQ14" s="870"/>
      <c r="AR14" s="870"/>
      <c r="AS14" s="870"/>
      <c r="AT14" s="870"/>
      <c r="AU14" s="870"/>
      <c r="AV14" s="870"/>
      <c r="AW14" s="870"/>
      <c r="AX14" s="870"/>
      <c r="AY14" s="870"/>
      <c r="AZ14" s="870"/>
      <c r="BA14" s="870">
        <f t="shared" si="2"/>
        <v>0</v>
      </c>
    </row>
    <row r="15" spans="1:53" ht="19.899999999999999" customHeight="1" x14ac:dyDescent="0.3">
      <c r="A15" s="957">
        <v>45569</v>
      </c>
      <c r="B15" s="171" t="s">
        <v>1316</v>
      </c>
      <c r="C15" s="955" t="s">
        <v>1315</v>
      </c>
      <c r="D15" s="34" t="s">
        <v>1314</v>
      </c>
      <c r="E15" s="684"/>
      <c r="F15" s="684"/>
      <c r="G15" s="684"/>
      <c r="H15" s="684"/>
      <c r="I15" s="684"/>
      <c r="J15" s="684"/>
      <c r="K15" s="684"/>
      <c r="L15" s="684"/>
      <c r="M15" s="684"/>
      <c r="N15" s="37"/>
      <c r="O15" s="684"/>
      <c r="P15" s="37"/>
      <c r="Q15" s="684"/>
      <c r="R15" s="684"/>
      <c r="S15" s="684"/>
      <c r="T15" s="684"/>
      <c r="U15" s="37"/>
      <c r="V15" s="684">
        <v>98000</v>
      </c>
      <c r="W15" s="37"/>
      <c r="X15" s="684"/>
      <c r="Y15" s="37"/>
      <c r="Z15" s="684"/>
      <c r="AA15" s="897"/>
      <c r="AB15" s="870"/>
      <c r="AC15" s="684"/>
      <c r="AD15" s="684"/>
      <c r="AE15" s="684"/>
      <c r="AF15" s="684"/>
      <c r="AG15" s="684"/>
      <c r="AH15" s="807">
        <f t="shared" si="0"/>
        <v>98000</v>
      </c>
      <c r="AI15" s="940"/>
      <c r="AJ15" s="874"/>
      <c r="AK15" s="494"/>
      <c r="AL15" s="764"/>
      <c r="AM15" s="769">
        <f t="shared" si="1"/>
        <v>98000</v>
      </c>
      <c r="AN15" s="881"/>
      <c r="AO15" s="886"/>
      <c r="AP15" s="886"/>
      <c r="AQ15" s="870"/>
      <c r="AR15" s="870"/>
      <c r="AS15" s="870"/>
      <c r="AT15" s="870"/>
      <c r="AU15" s="870"/>
      <c r="AV15" s="870"/>
      <c r="AW15" s="870"/>
      <c r="AX15" s="870"/>
      <c r="AY15" s="870"/>
      <c r="AZ15" s="870"/>
      <c r="BA15" s="870">
        <f t="shared" si="2"/>
        <v>0</v>
      </c>
    </row>
    <row r="16" spans="1:53" ht="37.5" x14ac:dyDescent="0.3">
      <c r="A16" s="957">
        <v>45572</v>
      </c>
      <c r="B16" s="171" t="s">
        <v>1325</v>
      </c>
      <c r="C16" s="955" t="s">
        <v>1323</v>
      </c>
      <c r="D16" s="34" t="s">
        <v>1416</v>
      </c>
      <c r="E16" s="684"/>
      <c r="F16" s="684"/>
      <c r="G16" s="684"/>
      <c r="H16" s="684"/>
      <c r="I16" s="684"/>
      <c r="J16" s="684"/>
      <c r="K16" s="684"/>
      <c r="L16" s="684">
        <v>2100</v>
      </c>
      <c r="M16" s="684"/>
      <c r="N16" s="37"/>
      <c r="O16" s="684"/>
      <c r="P16" s="37"/>
      <c r="Q16" s="684"/>
      <c r="R16" s="684"/>
      <c r="S16" s="684"/>
      <c r="T16" s="684"/>
      <c r="U16" s="37"/>
      <c r="V16" s="684"/>
      <c r="W16" s="37"/>
      <c r="X16" s="684"/>
      <c r="Y16" s="37"/>
      <c r="Z16" s="684"/>
      <c r="AA16" s="897"/>
      <c r="AB16" s="870"/>
      <c r="AC16" s="684"/>
      <c r="AD16" s="684"/>
      <c r="AE16" s="684"/>
      <c r="AF16" s="684"/>
      <c r="AG16" s="684"/>
      <c r="AH16" s="807">
        <f t="shared" si="0"/>
        <v>2100</v>
      </c>
      <c r="AI16" s="937">
        <v>45600</v>
      </c>
      <c r="AJ16" s="42" t="s">
        <v>1519</v>
      </c>
      <c r="AK16" s="494">
        <v>2100</v>
      </c>
      <c r="AL16" s="764"/>
      <c r="AM16" s="769">
        <f t="shared" si="1"/>
        <v>0</v>
      </c>
      <c r="AN16" s="881"/>
      <c r="AO16" s="882"/>
      <c r="AP16" s="883"/>
      <c r="AQ16" s="883"/>
      <c r="AR16" s="883"/>
      <c r="AS16" s="883"/>
      <c r="AT16" s="883"/>
      <c r="AU16" s="883"/>
      <c r="AV16" s="883"/>
      <c r="AW16" s="883"/>
      <c r="AX16" s="883"/>
      <c r="AY16" s="883"/>
      <c r="AZ16" s="883"/>
      <c r="BA16" s="870">
        <f t="shared" si="2"/>
        <v>0</v>
      </c>
    </row>
    <row r="17" spans="1:53" ht="112.5" x14ac:dyDescent="0.3">
      <c r="A17" s="957">
        <v>45573</v>
      </c>
      <c r="B17" s="171" t="s">
        <v>1326</v>
      </c>
      <c r="C17" s="955" t="s">
        <v>1324</v>
      </c>
      <c r="D17" s="41" t="s">
        <v>1415</v>
      </c>
      <c r="E17" s="684"/>
      <c r="F17" s="684"/>
      <c r="G17" s="684"/>
      <c r="H17" s="684"/>
      <c r="I17" s="684"/>
      <c r="J17" s="684"/>
      <c r="K17" s="684"/>
      <c r="L17" s="684"/>
      <c r="M17" s="684">
        <v>330000</v>
      </c>
      <c r="N17" s="37"/>
      <c r="O17" s="684"/>
      <c r="P17" s="37"/>
      <c r="Q17" s="684"/>
      <c r="R17" s="684"/>
      <c r="S17" s="684"/>
      <c r="T17" s="684"/>
      <c r="U17" s="37"/>
      <c r="V17" s="684"/>
      <c r="W17" s="37"/>
      <c r="X17" s="684"/>
      <c r="Y17" s="37"/>
      <c r="Z17" s="684"/>
      <c r="AA17" s="897"/>
      <c r="AB17" s="870"/>
      <c r="AC17" s="684"/>
      <c r="AD17" s="684"/>
      <c r="AE17" s="684"/>
      <c r="AF17" s="684"/>
      <c r="AG17" s="684"/>
      <c r="AH17" s="807">
        <f t="shared" si="0"/>
        <v>330000</v>
      </c>
      <c r="AI17" s="940" t="s">
        <v>1520</v>
      </c>
      <c r="AJ17" s="65" t="s">
        <v>1521</v>
      </c>
      <c r="AK17" s="494">
        <v>326158.46999999997</v>
      </c>
      <c r="AL17" s="764"/>
      <c r="AM17" s="769">
        <f t="shared" si="1"/>
        <v>3841.5300000000279</v>
      </c>
      <c r="AN17" s="881"/>
      <c r="AO17" s="882"/>
      <c r="AP17" s="883"/>
      <c r="AQ17" s="883"/>
      <c r="AR17" s="883"/>
      <c r="AS17" s="883"/>
      <c r="AT17" s="883"/>
      <c r="AU17" s="883"/>
      <c r="AV17" s="883"/>
      <c r="AW17" s="883"/>
      <c r="AX17" s="883"/>
      <c r="AY17" s="883"/>
      <c r="AZ17" s="883"/>
      <c r="BA17" s="870">
        <f t="shared" si="2"/>
        <v>0</v>
      </c>
    </row>
    <row r="18" spans="1:53" ht="45" customHeight="1" x14ac:dyDescent="0.3">
      <c r="A18" s="957">
        <v>45573</v>
      </c>
      <c r="B18" s="171" t="s">
        <v>1333</v>
      </c>
      <c r="C18" s="955" t="s">
        <v>1330</v>
      </c>
      <c r="D18" s="34" t="s">
        <v>1327</v>
      </c>
      <c r="E18" s="684"/>
      <c r="F18" s="684"/>
      <c r="G18" s="684"/>
      <c r="H18" s="684"/>
      <c r="I18" s="684"/>
      <c r="J18" s="684"/>
      <c r="K18" s="684"/>
      <c r="L18" s="684">
        <v>700</v>
      </c>
      <c r="M18" s="684"/>
      <c r="N18" s="37"/>
      <c r="O18" s="684"/>
      <c r="P18" s="37"/>
      <c r="Q18" s="684"/>
      <c r="R18" s="684"/>
      <c r="S18" s="684"/>
      <c r="T18" s="684"/>
      <c r="U18" s="37"/>
      <c r="V18" s="684"/>
      <c r="W18" s="37"/>
      <c r="X18" s="684"/>
      <c r="Y18" s="37"/>
      <c r="Z18" s="684"/>
      <c r="AA18" s="897"/>
      <c r="AB18" s="870"/>
      <c r="AC18" s="684"/>
      <c r="AD18" s="684"/>
      <c r="AE18" s="684"/>
      <c r="AF18" s="684"/>
      <c r="AG18" s="684"/>
      <c r="AH18" s="807">
        <f t="shared" si="0"/>
        <v>700</v>
      </c>
      <c r="AI18" s="937">
        <v>45589</v>
      </c>
      <c r="AJ18" s="42" t="s">
        <v>1338</v>
      </c>
      <c r="AK18" s="494">
        <v>700</v>
      </c>
      <c r="AL18" s="764"/>
      <c r="AM18" s="769">
        <f t="shared" si="1"/>
        <v>0</v>
      </c>
      <c r="AN18" s="881"/>
      <c r="AO18" s="882"/>
      <c r="AP18" s="883"/>
      <c r="AQ18" s="883"/>
      <c r="AR18" s="883"/>
      <c r="AS18" s="883"/>
      <c r="AT18" s="883"/>
      <c r="AU18" s="883"/>
      <c r="AV18" s="883"/>
      <c r="AW18" s="883"/>
      <c r="AX18" s="883"/>
      <c r="AY18" s="883"/>
      <c r="AZ18" s="883"/>
      <c r="BA18" s="870">
        <f t="shared" si="2"/>
        <v>0</v>
      </c>
    </row>
    <row r="19" spans="1:53" ht="37.5" x14ac:dyDescent="0.3">
      <c r="A19" s="957">
        <v>45575</v>
      </c>
      <c r="B19" s="171" t="s">
        <v>1334</v>
      </c>
      <c r="C19" s="955" t="s">
        <v>1331</v>
      </c>
      <c r="D19" s="34" t="s">
        <v>1616</v>
      </c>
      <c r="E19" s="684"/>
      <c r="F19" s="684"/>
      <c r="G19" s="684"/>
      <c r="H19" s="684"/>
      <c r="I19" s="684"/>
      <c r="J19" s="684"/>
      <c r="K19" s="684"/>
      <c r="L19" s="684"/>
      <c r="M19" s="684"/>
      <c r="N19" s="37"/>
      <c r="O19" s="684"/>
      <c r="P19" s="37">
        <v>1000</v>
      </c>
      <c r="Q19" s="684"/>
      <c r="R19" s="684"/>
      <c r="S19" s="684"/>
      <c r="T19" s="684"/>
      <c r="U19" s="37"/>
      <c r="V19" s="684"/>
      <c r="W19" s="37"/>
      <c r="X19" s="684"/>
      <c r="Y19" s="37"/>
      <c r="Z19" s="684"/>
      <c r="AA19" s="897"/>
      <c r="AB19" s="870"/>
      <c r="AC19" s="684"/>
      <c r="AD19" s="684"/>
      <c r="AE19" s="684"/>
      <c r="AF19" s="684"/>
      <c r="AG19" s="684"/>
      <c r="AH19" s="807">
        <f t="shared" si="0"/>
        <v>1000</v>
      </c>
      <c r="AI19" s="937">
        <v>45628</v>
      </c>
      <c r="AJ19" s="42" t="s">
        <v>1618</v>
      </c>
      <c r="AK19" s="494">
        <v>700</v>
      </c>
      <c r="AL19" s="764"/>
      <c r="AM19" s="769">
        <f t="shared" si="1"/>
        <v>300</v>
      </c>
      <c r="AN19" s="881"/>
      <c r="AO19" s="882"/>
      <c r="AP19" s="883"/>
      <c r="AQ19" s="883"/>
      <c r="AR19" s="883"/>
      <c r="AS19" s="883"/>
      <c r="AT19" s="883"/>
      <c r="AU19" s="883"/>
      <c r="AV19" s="883"/>
      <c r="AW19" s="883"/>
      <c r="AX19" s="883"/>
      <c r="AY19" s="883"/>
      <c r="AZ19" s="883"/>
      <c r="BA19" s="870"/>
    </row>
    <row r="20" spans="1:53" ht="37.5" x14ac:dyDescent="0.3">
      <c r="A20" s="957">
        <v>45575</v>
      </c>
      <c r="B20" s="171" t="s">
        <v>1335</v>
      </c>
      <c r="C20" s="955" t="s">
        <v>1332</v>
      </c>
      <c r="D20" s="34" t="s">
        <v>1328</v>
      </c>
      <c r="E20" s="684"/>
      <c r="F20" s="684"/>
      <c r="G20" s="684"/>
      <c r="H20" s="684"/>
      <c r="I20" s="684"/>
      <c r="J20" s="684"/>
      <c r="K20" s="684"/>
      <c r="L20" s="684"/>
      <c r="M20" s="684"/>
      <c r="N20" s="37"/>
      <c r="O20" s="684"/>
      <c r="P20" s="37">
        <v>2000</v>
      </c>
      <c r="Q20" s="684"/>
      <c r="R20" s="684"/>
      <c r="S20" s="684"/>
      <c r="T20" s="684"/>
      <c r="U20" s="37"/>
      <c r="V20" s="684"/>
      <c r="W20" s="37"/>
      <c r="X20" s="684"/>
      <c r="Y20" s="37"/>
      <c r="Z20" s="684"/>
      <c r="AA20" s="897"/>
      <c r="AB20" s="870"/>
      <c r="AC20" s="684"/>
      <c r="AD20" s="684"/>
      <c r="AE20" s="684"/>
      <c r="AF20" s="684"/>
      <c r="AG20" s="684"/>
      <c r="AH20" s="807">
        <f t="shared" si="0"/>
        <v>2000</v>
      </c>
      <c r="AI20" s="937">
        <v>45618</v>
      </c>
      <c r="AJ20" s="42" t="s">
        <v>1522</v>
      </c>
      <c r="AK20" s="494">
        <v>1860</v>
      </c>
      <c r="AL20" s="764"/>
      <c r="AM20" s="769">
        <f t="shared" si="1"/>
        <v>140</v>
      </c>
      <c r="AN20" s="881"/>
      <c r="AO20" s="882"/>
      <c r="AP20" s="883"/>
      <c r="AQ20" s="883"/>
      <c r="AR20" s="883"/>
      <c r="AS20" s="883"/>
      <c r="AT20" s="883"/>
      <c r="AU20" s="883"/>
      <c r="AV20" s="883"/>
      <c r="AW20" s="883"/>
      <c r="AX20" s="883"/>
      <c r="AY20" s="883"/>
      <c r="AZ20" s="883"/>
      <c r="BA20" s="870"/>
    </row>
    <row r="21" spans="1:53" ht="18.75" x14ac:dyDescent="0.3">
      <c r="A21" s="957">
        <v>45576</v>
      </c>
      <c r="B21" s="171" t="s">
        <v>1336</v>
      </c>
      <c r="C21" s="955" t="s">
        <v>1315</v>
      </c>
      <c r="D21" s="34" t="s">
        <v>1329</v>
      </c>
      <c r="E21" s="684">
        <v>1926</v>
      </c>
      <c r="F21" s="684"/>
      <c r="G21" s="684"/>
      <c r="H21" s="684"/>
      <c r="I21" s="684"/>
      <c r="J21" s="684"/>
      <c r="K21" s="684"/>
      <c r="L21" s="684"/>
      <c r="M21" s="684"/>
      <c r="N21" s="37"/>
      <c r="O21" s="684"/>
      <c r="P21" s="37"/>
      <c r="Q21" s="684"/>
      <c r="R21" s="684"/>
      <c r="S21" s="684"/>
      <c r="T21" s="684"/>
      <c r="U21" s="37"/>
      <c r="V21" s="684"/>
      <c r="W21" s="37"/>
      <c r="X21" s="684"/>
      <c r="Y21" s="37"/>
      <c r="Z21" s="684"/>
      <c r="AA21" s="897"/>
      <c r="AB21" s="870"/>
      <c r="AC21" s="684"/>
      <c r="AD21" s="684"/>
      <c r="AE21" s="684"/>
      <c r="AF21" s="684"/>
      <c r="AG21" s="684"/>
      <c r="AH21" s="807">
        <f t="shared" si="0"/>
        <v>1926</v>
      </c>
      <c r="AI21" s="937">
        <v>45611</v>
      </c>
      <c r="AJ21" s="42" t="s">
        <v>1523</v>
      </c>
      <c r="AK21" s="494">
        <v>1926</v>
      </c>
      <c r="AL21" s="764"/>
      <c r="AM21" s="769">
        <f t="shared" si="1"/>
        <v>0</v>
      </c>
      <c r="AN21" s="881"/>
      <c r="AO21" s="882"/>
      <c r="AP21" s="883"/>
      <c r="AQ21" s="883"/>
      <c r="AR21" s="883"/>
      <c r="AS21" s="883"/>
      <c r="AT21" s="883"/>
      <c r="AU21" s="883"/>
      <c r="AV21" s="883"/>
      <c r="AW21" s="883"/>
      <c r="AX21" s="883"/>
      <c r="AY21" s="883"/>
      <c r="AZ21" s="883"/>
      <c r="BA21" s="870"/>
    </row>
    <row r="22" spans="1:53" ht="18.75" x14ac:dyDescent="0.3">
      <c r="A22" s="957">
        <v>45580</v>
      </c>
      <c r="B22" s="171" t="s">
        <v>1337</v>
      </c>
      <c r="C22" s="955" t="s">
        <v>1315</v>
      </c>
      <c r="D22" s="34" t="s">
        <v>1617</v>
      </c>
      <c r="E22" s="684">
        <v>5500</v>
      </c>
      <c r="F22" s="684"/>
      <c r="G22" s="684"/>
      <c r="H22" s="684"/>
      <c r="I22" s="684"/>
      <c r="J22" s="684"/>
      <c r="K22" s="684"/>
      <c r="L22" s="684"/>
      <c r="M22" s="684"/>
      <c r="N22" s="37"/>
      <c r="O22" s="684"/>
      <c r="P22" s="37"/>
      <c r="Q22" s="684"/>
      <c r="R22" s="684"/>
      <c r="S22" s="684"/>
      <c r="T22" s="684"/>
      <c r="U22" s="37"/>
      <c r="V22" s="684"/>
      <c r="W22" s="37"/>
      <c r="X22" s="684"/>
      <c r="Y22" s="37"/>
      <c r="Z22" s="684"/>
      <c r="AA22" s="897"/>
      <c r="AB22" s="870"/>
      <c r="AC22" s="684"/>
      <c r="AD22" s="684"/>
      <c r="AE22" s="684"/>
      <c r="AF22" s="684"/>
      <c r="AG22" s="684"/>
      <c r="AH22" s="807">
        <f t="shared" si="0"/>
        <v>5500</v>
      </c>
      <c r="AI22" s="937">
        <v>45611</v>
      </c>
      <c r="AJ22" s="42" t="s">
        <v>1524</v>
      </c>
      <c r="AK22" s="494">
        <v>5500</v>
      </c>
      <c r="AL22" s="764"/>
      <c r="AM22" s="769">
        <f>AH22-AK22-AL22</f>
        <v>0</v>
      </c>
      <c r="AN22" s="881"/>
      <c r="AO22" s="882"/>
      <c r="AP22" s="883"/>
      <c r="AQ22" s="883"/>
      <c r="AR22" s="883"/>
      <c r="AS22" s="883"/>
      <c r="AT22" s="883"/>
      <c r="AU22" s="883"/>
      <c r="AV22" s="883"/>
      <c r="AW22" s="883"/>
      <c r="AX22" s="883"/>
      <c r="AY22" s="883"/>
      <c r="AZ22" s="883"/>
      <c r="BA22" s="870"/>
    </row>
    <row r="23" spans="1:53" ht="56.25" x14ac:dyDescent="0.3">
      <c r="A23" s="957">
        <v>45583</v>
      </c>
      <c r="B23" s="171" t="s">
        <v>1349</v>
      </c>
      <c r="C23" s="955" t="s">
        <v>1341</v>
      </c>
      <c r="D23" s="34" t="s">
        <v>1342</v>
      </c>
      <c r="E23" s="684"/>
      <c r="F23" s="684"/>
      <c r="G23" s="684"/>
      <c r="H23" s="684"/>
      <c r="I23" s="684"/>
      <c r="J23" s="684"/>
      <c r="K23" s="684"/>
      <c r="L23" s="684"/>
      <c r="M23" s="684"/>
      <c r="N23" s="37"/>
      <c r="O23" s="684"/>
      <c r="P23" s="37"/>
      <c r="Q23" s="684"/>
      <c r="R23" s="684"/>
      <c r="S23" s="684"/>
      <c r="T23" s="684"/>
      <c r="U23" s="37"/>
      <c r="V23" s="684"/>
      <c r="W23" s="37"/>
      <c r="X23" s="684"/>
      <c r="Y23" s="37"/>
      <c r="Z23" s="684"/>
      <c r="AA23" s="897"/>
      <c r="AB23" s="870"/>
      <c r="AC23" s="684">
        <v>184200</v>
      </c>
      <c r="AD23" s="684"/>
      <c r="AE23" s="684"/>
      <c r="AF23" s="684"/>
      <c r="AG23" s="684"/>
      <c r="AH23" s="807">
        <f t="shared" si="0"/>
        <v>184200</v>
      </c>
      <c r="AI23" s="940" t="s">
        <v>1843</v>
      </c>
      <c r="AJ23" s="65" t="s">
        <v>1837</v>
      </c>
      <c r="AK23" s="494">
        <f>13800+14060.71+13800</f>
        <v>41660.71</v>
      </c>
      <c r="AL23" s="764"/>
      <c r="AM23" s="769">
        <f t="shared" si="1"/>
        <v>142539.29</v>
      </c>
      <c r="AN23" s="881"/>
      <c r="AO23" s="882"/>
      <c r="AP23" s="883"/>
      <c r="AQ23" s="883"/>
      <c r="AR23" s="883"/>
      <c r="AS23" s="883"/>
      <c r="AT23" s="883"/>
      <c r="AU23" s="883"/>
      <c r="AV23" s="883"/>
      <c r="AW23" s="883"/>
      <c r="AX23" s="883"/>
      <c r="AY23" s="883"/>
      <c r="AZ23" s="883"/>
      <c r="BA23" s="870"/>
    </row>
    <row r="24" spans="1:53" ht="37.5" x14ac:dyDescent="0.3">
      <c r="A24" s="957">
        <v>45583</v>
      </c>
      <c r="B24" s="171" t="s">
        <v>1350</v>
      </c>
      <c r="C24" s="955" t="s">
        <v>1341</v>
      </c>
      <c r="D24" s="34" t="s">
        <v>1343</v>
      </c>
      <c r="E24" s="684"/>
      <c r="F24" s="684"/>
      <c r="G24" s="684"/>
      <c r="H24" s="684"/>
      <c r="I24" s="684"/>
      <c r="J24" s="684"/>
      <c r="K24" s="684"/>
      <c r="L24" s="684"/>
      <c r="M24" s="684"/>
      <c r="N24" s="37"/>
      <c r="O24" s="684"/>
      <c r="P24" s="37"/>
      <c r="Q24" s="684"/>
      <c r="R24" s="684"/>
      <c r="S24" s="684"/>
      <c r="T24" s="684"/>
      <c r="U24" s="37"/>
      <c r="V24" s="684"/>
      <c r="W24" s="37"/>
      <c r="X24" s="684"/>
      <c r="Y24" s="37"/>
      <c r="Z24" s="684"/>
      <c r="AA24" s="897">
        <v>152876.25</v>
      </c>
      <c r="AB24" s="870"/>
      <c r="AC24" s="684"/>
      <c r="AD24" s="684"/>
      <c r="AE24" s="684"/>
      <c r="AF24" s="684"/>
      <c r="AG24" s="684"/>
      <c r="AH24" s="807">
        <f t="shared" si="0"/>
        <v>152876.25</v>
      </c>
      <c r="AI24" s="937">
        <v>45681</v>
      </c>
      <c r="AJ24" s="42" t="s">
        <v>1838</v>
      </c>
      <c r="AK24" s="494">
        <v>75836.25</v>
      </c>
      <c r="AL24" s="764"/>
      <c r="AM24" s="769">
        <f>AH24-AK24-AL24</f>
        <v>77040</v>
      </c>
      <c r="AN24" s="881"/>
      <c r="AO24" s="882"/>
      <c r="AP24" s="883"/>
      <c r="AQ24" s="883"/>
      <c r="AR24" s="883"/>
      <c r="AS24" s="883"/>
      <c r="AT24" s="883"/>
      <c r="AU24" s="883"/>
      <c r="AV24" s="883"/>
      <c r="AW24" s="883"/>
      <c r="AX24" s="883"/>
      <c r="AY24" s="883"/>
      <c r="AZ24" s="883"/>
      <c r="BA24" s="870"/>
    </row>
    <row r="25" spans="1:53" ht="56.25" x14ac:dyDescent="0.3">
      <c r="A25" s="957">
        <v>45583</v>
      </c>
      <c r="B25" s="171" t="s">
        <v>1351</v>
      </c>
      <c r="C25" s="955" t="s">
        <v>1341</v>
      </c>
      <c r="D25" s="34" t="s">
        <v>1344</v>
      </c>
      <c r="E25" s="684"/>
      <c r="F25" s="684"/>
      <c r="G25" s="684"/>
      <c r="H25" s="684"/>
      <c r="I25" s="684"/>
      <c r="J25" s="684"/>
      <c r="K25" s="684"/>
      <c r="L25" s="684"/>
      <c r="M25" s="684"/>
      <c r="N25" s="37"/>
      <c r="O25" s="684"/>
      <c r="P25" s="37"/>
      <c r="Q25" s="684"/>
      <c r="R25" s="684"/>
      <c r="S25" s="684"/>
      <c r="T25" s="684"/>
      <c r="U25" s="37"/>
      <c r="V25" s="684"/>
      <c r="W25" s="37"/>
      <c r="X25" s="684">
        <v>1620000</v>
      </c>
      <c r="Y25" s="37"/>
      <c r="Z25" s="684"/>
      <c r="AA25" s="897"/>
      <c r="AB25" s="870"/>
      <c r="AC25" s="684"/>
      <c r="AD25" s="684"/>
      <c r="AE25" s="684"/>
      <c r="AF25" s="684"/>
      <c r="AG25" s="684"/>
      <c r="AH25" s="807">
        <f t="shared" si="0"/>
        <v>1620000</v>
      </c>
      <c r="AI25" s="940" t="s">
        <v>1842</v>
      </c>
      <c r="AJ25" s="65" t="s">
        <v>1839</v>
      </c>
      <c r="AK25" s="494">
        <f>135000+135000</f>
        <v>270000</v>
      </c>
      <c r="AL25" s="764"/>
      <c r="AM25" s="769">
        <f t="shared" si="1"/>
        <v>1350000</v>
      </c>
      <c r="AN25" s="881"/>
      <c r="AO25" s="882"/>
      <c r="AP25" s="883"/>
      <c r="AQ25" s="883"/>
      <c r="AR25" s="883"/>
      <c r="AS25" s="883"/>
      <c r="AT25" s="883"/>
      <c r="AU25" s="883"/>
      <c r="AV25" s="883"/>
      <c r="AW25" s="883"/>
      <c r="AX25" s="883"/>
      <c r="AY25" s="883"/>
      <c r="AZ25" s="883"/>
      <c r="BA25" s="870">
        <f t="shared" si="2"/>
        <v>0</v>
      </c>
    </row>
    <row r="26" spans="1:53" ht="56.25" x14ac:dyDescent="0.3">
      <c r="A26" s="957">
        <v>45583</v>
      </c>
      <c r="B26" s="171" t="s">
        <v>1352</v>
      </c>
      <c r="C26" s="955" t="s">
        <v>1345</v>
      </c>
      <c r="D26" s="34" t="s">
        <v>1346</v>
      </c>
      <c r="E26" s="684"/>
      <c r="F26" s="684"/>
      <c r="G26" s="684"/>
      <c r="H26" s="684"/>
      <c r="I26" s="684"/>
      <c r="J26" s="684"/>
      <c r="K26" s="684"/>
      <c r="L26" s="684"/>
      <c r="M26" s="684"/>
      <c r="N26" s="37"/>
      <c r="O26" s="684"/>
      <c r="P26" s="37"/>
      <c r="Q26" s="684"/>
      <c r="R26" s="684"/>
      <c r="S26" s="684"/>
      <c r="T26" s="684"/>
      <c r="U26" s="37"/>
      <c r="V26" s="684"/>
      <c r="W26" s="37"/>
      <c r="X26" s="684"/>
      <c r="Y26" s="37"/>
      <c r="Z26" s="684"/>
      <c r="AA26" s="897"/>
      <c r="AB26" s="870">
        <v>350000</v>
      </c>
      <c r="AC26" s="684"/>
      <c r="AD26" s="684"/>
      <c r="AE26" s="684"/>
      <c r="AF26" s="684"/>
      <c r="AG26" s="684"/>
      <c r="AH26" s="807">
        <f t="shared" si="0"/>
        <v>350000</v>
      </c>
      <c r="AI26" s="940" t="s">
        <v>1841</v>
      </c>
      <c r="AJ26" s="65" t="s">
        <v>1840</v>
      </c>
      <c r="AK26" s="494">
        <f>27760.08+27760.08+27760.08</f>
        <v>83280.240000000005</v>
      </c>
      <c r="AL26" s="764"/>
      <c r="AM26" s="769">
        <f t="shared" si="1"/>
        <v>266719.76</v>
      </c>
      <c r="AN26" s="881"/>
      <c r="AO26" s="882"/>
      <c r="AP26" s="883"/>
      <c r="AQ26" s="883"/>
      <c r="AR26" s="883"/>
      <c r="AS26" s="883"/>
      <c r="AT26" s="883"/>
      <c r="AU26" s="883"/>
      <c r="AV26" s="883"/>
      <c r="AW26" s="883"/>
      <c r="AX26" s="883"/>
      <c r="AY26" s="883"/>
      <c r="AZ26" s="883"/>
      <c r="BA26" s="870">
        <f t="shared" si="2"/>
        <v>0</v>
      </c>
    </row>
    <row r="27" spans="1:53" ht="37.5" x14ac:dyDescent="0.3">
      <c r="A27" s="957">
        <v>45586</v>
      </c>
      <c r="B27" s="171" t="s">
        <v>1353</v>
      </c>
      <c r="C27" s="955" t="s">
        <v>1309</v>
      </c>
      <c r="D27" s="775" t="s">
        <v>1347</v>
      </c>
      <c r="E27" s="684"/>
      <c r="F27" s="684"/>
      <c r="G27" s="684"/>
      <c r="H27" s="684"/>
      <c r="I27" s="1078"/>
      <c r="J27" s="684"/>
      <c r="K27" s="684"/>
      <c r="L27" s="684"/>
      <c r="M27" s="684"/>
      <c r="N27" s="37"/>
      <c r="O27" s="684"/>
      <c r="P27" s="37"/>
      <c r="Q27" s="684"/>
      <c r="R27" s="684"/>
      <c r="S27" s="684"/>
      <c r="T27" s="684">
        <v>214000</v>
      </c>
      <c r="U27" s="37"/>
      <c r="V27" s="684"/>
      <c r="W27" s="37"/>
      <c r="X27" s="684"/>
      <c r="Y27" s="37"/>
      <c r="Z27" s="684"/>
      <c r="AA27" s="897"/>
      <c r="AB27" s="870"/>
      <c r="AC27" s="684"/>
      <c r="AD27" s="684"/>
      <c r="AE27" s="684"/>
      <c r="AF27" s="684"/>
      <c r="AG27" s="684"/>
      <c r="AH27" s="807">
        <f t="shared" si="0"/>
        <v>214000</v>
      </c>
      <c r="AI27" s="937">
        <v>45684</v>
      </c>
      <c r="AJ27" s="42" t="s">
        <v>1844</v>
      </c>
      <c r="AK27" s="494">
        <v>53499</v>
      </c>
      <c r="AL27" s="764"/>
      <c r="AM27" s="769">
        <f t="shared" si="1"/>
        <v>160501</v>
      </c>
      <c r="AN27" s="881"/>
      <c r="AO27" s="882"/>
      <c r="AP27" s="883"/>
      <c r="AQ27" s="883"/>
      <c r="AR27" s="883"/>
      <c r="AS27" s="883"/>
      <c r="AT27" s="883"/>
      <c r="AU27" s="883"/>
      <c r="AV27" s="883"/>
      <c r="AW27" s="883"/>
      <c r="AX27" s="883"/>
      <c r="AY27" s="883"/>
      <c r="AZ27" s="883"/>
      <c r="BA27" s="870">
        <f t="shared" si="2"/>
        <v>0</v>
      </c>
    </row>
    <row r="28" spans="1:53" ht="37.5" x14ac:dyDescent="0.3">
      <c r="A28" s="957">
        <v>45586</v>
      </c>
      <c r="B28" s="171" t="s">
        <v>1354</v>
      </c>
      <c r="C28" s="955" t="s">
        <v>1345</v>
      </c>
      <c r="D28" s="775" t="s">
        <v>1348</v>
      </c>
      <c r="E28" s="684"/>
      <c r="F28" s="684"/>
      <c r="G28" s="684"/>
      <c r="H28" s="684"/>
      <c r="I28" s="684"/>
      <c r="J28" s="684"/>
      <c r="K28" s="684"/>
      <c r="L28" s="684"/>
      <c r="M28" s="684"/>
      <c r="N28" s="37"/>
      <c r="O28" s="684"/>
      <c r="P28" s="55"/>
      <c r="Q28" s="684"/>
      <c r="R28" s="684"/>
      <c r="S28" s="684"/>
      <c r="T28" s="684"/>
      <c r="U28" s="37"/>
      <c r="V28" s="684"/>
      <c r="W28" s="37"/>
      <c r="X28" s="684"/>
      <c r="Y28" s="37"/>
      <c r="Z28" s="684">
        <v>99296</v>
      </c>
      <c r="AA28" s="897"/>
      <c r="AB28" s="870"/>
      <c r="AC28" s="684"/>
      <c r="AD28" s="684"/>
      <c r="AE28" s="684"/>
      <c r="AF28" s="684"/>
      <c r="AG28" s="684"/>
      <c r="AH28" s="807">
        <f t="shared" si="0"/>
        <v>99296</v>
      </c>
      <c r="AI28" s="937">
        <v>45684</v>
      </c>
      <c r="AJ28" s="42" t="s">
        <v>1845</v>
      </c>
      <c r="AK28" s="494">
        <v>24824</v>
      </c>
      <c r="AL28" s="764"/>
      <c r="AM28" s="769">
        <f t="shared" si="1"/>
        <v>74472</v>
      </c>
      <c r="AN28" s="881"/>
      <c r="AO28" s="882"/>
      <c r="AP28" s="883"/>
      <c r="AQ28" s="883"/>
      <c r="AR28" s="883"/>
      <c r="AS28" s="883"/>
      <c r="AT28" s="883"/>
      <c r="AU28" s="883"/>
      <c r="AV28" s="883"/>
      <c r="AW28" s="883"/>
      <c r="AX28" s="883"/>
      <c r="AY28" s="883"/>
      <c r="AZ28" s="883"/>
      <c r="BA28" s="870">
        <f t="shared" si="2"/>
        <v>0</v>
      </c>
    </row>
    <row r="29" spans="1:53" ht="37.5" x14ac:dyDescent="0.3">
      <c r="A29" s="957">
        <v>45586</v>
      </c>
      <c r="B29" s="171" t="s">
        <v>1362</v>
      </c>
      <c r="C29" s="955" t="s">
        <v>1358</v>
      </c>
      <c r="D29" s="775" t="s">
        <v>1366</v>
      </c>
      <c r="E29" s="684"/>
      <c r="F29" s="684"/>
      <c r="G29" s="684"/>
      <c r="H29" s="684"/>
      <c r="I29" s="684"/>
      <c r="J29" s="684"/>
      <c r="K29" s="684"/>
      <c r="L29" s="684"/>
      <c r="M29" s="684"/>
      <c r="N29" s="37"/>
      <c r="O29" s="684"/>
      <c r="P29" s="55">
        <v>3000</v>
      </c>
      <c r="Q29" s="684"/>
      <c r="R29" s="684"/>
      <c r="S29" s="684"/>
      <c r="T29" s="684"/>
      <c r="U29" s="37"/>
      <c r="V29" s="684"/>
      <c r="W29" s="37"/>
      <c r="X29" s="684"/>
      <c r="Y29" s="37"/>
      <c r="Z29" s="684"/>
      <c r="AA29" s="897"/>
      <c r="AB29" s="870"/>
      <c r="AC29" s="684"/>
      <c r="AD29" s="684"/>
      <c r="AE29" s="684"/>
      <c r="AF29" s="684"/>
      <c r="AG29" s="684"/>
      <c r="AH29" s="807">
        <f t="shared" si="0"/>
        <v>3000</v>
      </c>
      <c r="AI29" s="937">
        <v>45643</v>
      </c>
      <c r="AJ29" s="42" t="s">
        <v>1620</v>
      </c>
      <c r="AK29" s="494">
        <v>2710</v>
      </c>
      <c r="AL29" s="764"/>
      <c r="AM29" s="769">
        <f t="shared" si="1"/>
        <v>290</v>
      </c>
      <c r="AN29" s="881"/>
      <c r="AO29" s="882"/>
      <c r="AP29" s="883"/>
      <c r="AQ29" s="883"/>
      <c r="AR29" s="883"/>
      <c r="AS29" s="883"/>
      <c r="AT29" s="883"/>
      <c r="AU29" s="883"/>
      <c r="AV29" s="883"/>
      <c r="AW29" s="883"/>
      <c r="AX29" s="883"/>
      <c r="AY29" s="883"/>
      <c r="AZ29" s="883"/>
      <c r="BA29" s="870"/>
    </row>
    <row r="30" spans="1:53" ht="37.5" x14ac:dyDescent="0.3">
      <c r="A30" s="957">
        <v>45586</v>
      </c>
      <c r="B30" s="171" t="s">
        <v>1365</v>
      </c>
      <c r="C30" s="955" t="s">
        <v>1281</v>
      </c>
      <c r="D30" s="775" t="s">
        <v>1364</v>
      </c>
      <c r="E30" s="684"/>
      <c r="F30" s="684"/>
      <c r="G30" s="684"/>
      <c r="H30" s="684"/>
      <c r="I30" s="684"/>
      <c r="J30" s="684"/>
      <c r="K30" s="684"/>
      <c r="L30" s="55">
        <v>1575</v>
      </c>
      <c r="M30" s="684"/>
      <c r="N30" s="37"/>
      <c r="O30" s="684"/>
      <c r="P30" s="55"/>
      <c r="Q30" s="684"/>
      <c r="R30" s="684"/>
      <c r="S30" s="684"/>
      <c r="T30" s="684"/>
      <c r="U30" s="37"/>
      <c r="V30" s="684"/>
      <c r="W30" s="37"/>
      <c r="X30" s="684"/>
      <c r="Y30" s="37"/>
      <c r="Z30" s="684"/>
      <c r="AA30" s="897"/>
      <c r="AB30" s="870"/>
      <c r="AC30" s="684"/>
      <c r="AD30" s="684"/>
      <c r="AE30" s="684"/>
      <c r="AF30" s="684"/>
      <c r="AG30" s="684"/>
      <c r="AH30" s="807">
        <f t="shared" si="0"/>
        <v>1575</v>
      </c>
      <c r="AI30" s="937">
        <v>45617</v>
      </c>
      <c r="AJ30" s="42" t="s">
        <v>1525</v>
      </c>
      <c r="AK30" s="494">
        <v>1575</v>
      </c>
      <c r="AL30" s="764"/>
      <c r="AM30" s="769">
        <f t="shared" si="1"/>
        <v>0</v>
      </c>
      <c r="AN30" s="881"/>
      <c r="AO30" s="882"/>
      <c r="AP30" s="883"/>
      <c r="AQ30" s="883"/>
      <c r="AR30" s="883"/>
      <c r="AS30" s="883"/>
      <c r="AT30" s="883"/>
      <c r="AU30" s="883"/>
      <c r="AV30" s="883"/>
      <c r="AW30" s="883"/>
      <c r="AX30" s="883"/>
      <c r="AY30" s="883"/>
      <c r="AZ30" s="883"/>
      <c r="BA30" s="870"/>
    </row>
    <row r="31" spans="1:53" ht="37.5" x14ac:dyDescent="0.3">
      <c r="A31" s="957">
        <v>45586</v>
      </c>
      <c r="B31" s="171" t="s">
        <v>1363</v>
      </c>
      <c r="C31" s="955" t="s">
        <v>1360</v>
      </c>
      <c r="D31" s="775" t="s">
        <v>1367</v>
      </c>
      <c r="E31" s="684"/>
      <c r="F31" s="684"/>
      <c r="G31" s="684"/>
      <c r="H31" s="684"/>
      <c r="I31" s="684"/>
      <c r="J31" s="684"/>
      <c r="K31" s="684"/>
      <c r="L31" s="684"/>
      <c r="M31" s="684"/>
      <c r="N31" s="37"/>
      <c r="O31" s="684"/>
      <c r="P31" s="55">
        <v>1000</v>
      </c>
      <c r="Q31" s="684"/>
      <c r="R31" s="684"/>
      <c r="S31" s="684"/>
      <c r="T31" s="684"/>
      <c r="U31" s="37"/>
      <c r="V31" s="684"/>
      <c r="W31" s="37"/>
      <c r="X31" s="684"/>
      <c r="Y31" s="37"/>
      <c r="Z31" s="684"/>
      <c r="AA31" s="897"/>
      <c r="AB31" s="870"/>
      <c r="AC31" s="684"/>
      <c r="AD31" s="684"/>
      <c r="AE31" s="684"/>
      <c r="AF31" s="684"/>
      <c r="AG31" s="684"/>
      <c r="AH31" s="807">
        <f t="shared" si="0"/>
        <v>1000</v>
      </c>
      <c r="AI31" s="937">
        <v>45680</v>
      </c>
      <c r="AJ31" s="42" t="s">
        <v>1847</v>
      </c>
      <c r="AK31" s="494">
        <v>820</v>
      </c>
      <c r="AL31" s="764"/>
      <c r="AM31" s="769">
        <f t="shared" si="1"/>
        <v>180</v>
      </c>
      <c r="AN31" s="881"/>
      <c r="AO31" s="882"/>
      <c r="AP31" s="883"/>
      <c r="AQ31" s="883"/>
      <c r="AR31" s="883"/>
      <c r="AS31" s="883"/>
      <c r="AT31" s="883"/>
      <c r="AU31" s="883"/>
      <c r="AV31" s="883"/>
      <c r="AW31" s="883"/>
      <c r="AX31" s="883"/>
      <c r="AY31" s="883"/>
      <c r="AZ31" s="883"/>
      <c r="BA31" s="870"/>
    </row>
    <row r="32" spans="1:53" ht="18.75" x14ac:dyDescent="0.3">
      <c r="A32" s="957">
        <v>45589</v>
      </c>
      <c r="B32" s="171" t="s">
        <v>1382</v>
      </c>
      <c r="C32" s="955" t="s">
        <v>1309</v>
      </c>
      <c r="D32" s="775" t="s">
        <v>1377</v>
      </c>
      <c r="E32" s="684"/>
      <c r="F32" s="684">
        <v>3335</v>
      </c>
      <c r="G32" s="684"/>
      <c r="H32" s="684"/>
      <c r="I32" s="684"/>
      <c r="J32" s="684"/>
      <c r="K32" s="684"/>
      <c r="L32" s="684"/>
      <c r="M32" s="684"/>
      <c r="N32" s="37"/>
      <c r="O32" s="684"/>
      <c r="P32" s="55"/>
      <c r="Q32" s="684"/>
      <c r="R32" s="684"/>
      <c r="S32" s="684"/>
      <c r="T32" s="684"/>
      <c r="U32" s="37"/>
      <c r="V32" s="684"/>
      <c r="W32" s="37"/>
      <c r="X32" s="684"/>
      <c r="Y32" s="37"/>
      <c r="Z32" s="684"/>
      <c r="AA32" s="897"/>
      <c r="AB32" s="870"/>
      <c r="AC32" s="684"/>
      <c r="AD32" s="684"/>
      <c r="AE32" s="684"/>
      <c r="AF32" s="684"/>
      <c r="AG32" s="684"/>
      <c r="AH32" s="807">
        <f t="shared" si="0"/>
        <v>3335</v>
      </c>
      <c r="AI32" s="937">
        <v>45603</v>
      </c>
      <c r="AJ32" s="42" t="s">
        <v>1526</v>
      </c>
      <c r="AK32" s="494">
        <v>3335</v>
      </c>
      <c r="AL32" s="764"/>
      <c r="AM32" s="769">
        <f t="shared" si="1"/>
        <v>0</v>
      </c>
      <c r="AN32" s="881"/>
      <c r="AO32" s="882"/>
      <c r="AP32" s="883"/>
      <c r="AQ32" s="883"/>
      <c r="AR32" s="883"/>
      <c r="AS32" s="883"/>
      <c r="AT32" s="883"/>
      <c r="AU32" s="883"/>
      <c r="AV32" s="883"/>
      <c r="AW32" s="883"/>
      <c r="AX32" s="883"/>
      <c r="AY32" s="883"/>
      <c r="AZ32" s="883"/>
      <c r="BA32" s="870"/>
    </row>
    <row r="33" spans="1:53" ht="18.75" x14ac:dyDescent="0.3">
      <c r="A33" s="957">
        <v>45589</v>
      </c>
      <c r="B33" s="171" t="s">
        <v>1383</v>
      </c>
      <c r="C33" s="955" t="s">
        <v>1315</v>
      </c>
      <c r="D33" s="775" t="s">
        <v>1378</v>
      </c>
      <c r="E33" s="684">
        <v>4500</v>
      </c>
      <c r="F33" s="684"/>
      <c r="G33" s="684"/>
      <c r="H33" s="684"/>
      <c r="I33" s="684"/>
      <c r="J33" s="684"/>
      <c r="K33" s="684"/>
      <c r="L33" s="684"/>
      <c r="M33" s="684"/>
      <c r="N33" s="37"/>
      <c r="O33" s="684"/>
      <c r="P33" s="55"/>
      <c r="Q33" s="684"/>
      <c r="R33" s="684"/>
      <c r="S33" s="684"/>
      <c r="T33" s="684"/>
      <c r="U33" s="37"/>
      <c r="V33" s="684"/>
      <c r="W33" s="37"/>
      <c r="X33" s="684"/>
      <c r="Y33" s="37"/>
      <c r="Z33" s="684"/>
      <c r="AA33" s="897"/>
      <c r="AB33" s="870"/>
      <c r="AC33" s="684"/>
      <c r="AD33" s="684"/>
      <c r="AE33" s="684"/>
      <c r="AF33" s="684"/>
      <c r="AG33" s="684"/>
      <c r="AH33" s="807">
        <f t="shared" si="0"/>
        <v>4500</v>
      </c>
      <c r="AI33" s="937">
        <v>45608</v>
      </c>
      <c r="AJ33" s="42" t="s">
        <v>1527</v>
      </c>
      <c r="AK33" s="494">
        <v>4500</v>
      </c>
      <c r="AL33" s="764"/>
      <c r="AM33" s="769">
        <f t="shared" si="1"/>
        <v>0</v>
      </c>
      <c r="AN33" s="881"/>
      <c r="AO33" s="882"/>
      <c r="AP33" s="883"/>
      <c r="AQ33" s="883"/>
      <c r="AR33" s="883"/>
      <c r="AS33" s="883"/>
      <c r="AT33" s="883"/>
      <c r="AU33" s="883"/>
      <c r="AV33" s="883"/>
      <c r="AW33" s="883"/>
      <c r="AX33" s="883"/>
      <c r="AY33" s="883"/>
      <c r="AZ33" s="883"/>
      <c r="BA33" s="870"/>
    </row>
    <row r="34" spans="1:53" ht="18.75" x14ac:dyDescent="0.3">
      <c r="A34" s="957">
        <v>45590</v>
      </c>
      <c r="B34" s="171" t="s">
        <v>1384</v>
      </c>
      <c r="C34" s="955" t="s">
        <v>1309</v>
      </c>
      <c r="D34" s="775" t="s">
        <v>1379</v>
      </c>
      <c r="E34" s="684"/>
      <c r="F34" s="684">
        <v>11074.5</v>
      </c>
      <c r="G34" s="684"/>
      <c r="H34" s="684"/>
      <c r="I34" s="684"/>
      <c r="J34" s="684"/>
      <c r="K34" s="684"/>
      <c r="L34" s="684"/>
      <c r="M34" s="684"/>
      <c r="N34" s="37"/>
      <c r="O34" s="684"/>
      <c r="P34" s="55"/>
      <c r="Q34" s="684"/>
      <c r="R34" s="684"/>
      <c r="S34" s="684"/>
      <c r="T34" s="684"/>
      <c r="U34" s="37"/>
      <c r="V34" s="684"/>
      <c r="W34" s="37"/>
      <c r="X34" s="684"/>
      <c r="Y34" s="37"/>
      <c r="Z34" s="684"/>
      <c r="AA34" s="897"/>
      <c r="AB34" s="870"/>
      <c r="AC34" s="684"/>
      <c r="AD34" s="684"/>
      <c r="AE34" s="684"/>
      <c r="AF34" s="684"/>
      <c r="AG34" s="684"/>
      <c r="AH34" s="807">
        <f t="shared" si="0"/>
        <v>11074.5</v>
      </c>
      <c r="AI34" s="937">
        <v>45611</v>
      </c>
      <c r="AJ34" s="42" t="s">
        <v>1528</v>
      </c>
      <c r="AK34" s="494">
        <v>11074.5</v>
      </c>
      <c r="AL34" s="764"/>
      <c r="AM34" s="769">
        <f t="shared" si="1"/>
        <v>0</v>
      </c>
      <c r="AN34" s="881"/>
      <c r="AO34" s="882"/>
      <c r="AP34" s="883"/>
      <c r="AQ34" s="883"/>
      <c r="AR34" s="883"/>
      <c r="AS34" s="883"/>
      <c r="AT34" s="883"/>
      <c r="AU34" s="883"/>
      <c r="AV34" s="883"/>
      <c r="AW34" s="883"/>
      <c r="AX34" s="883"/>
      <c r="AY34" s="883"/>
      <c r="AZ34" s="883"/>
      <c r="BA34" s="870"/>
    </row>
    <row r="35" spans="1:53" ht="37.5" x14ac:dyDescent="0.3">
      <c r="A35" s="957">
        <v>45590</v>
      </c>
      <c r="B35" s="171" t="s">
        <v>1397</v>
      </c>
      <c r="C35" s="955" t="s">
        <v>1380</v>
      </c>
      <c r="D35" s="775" t="s">
        <v>1381</v>
      </c>
      <c r="E35" s="684"/>
      <c r="F35" s="684"/>
      <c r="G35" s="684"/>
      <c r="H35" s="684"/>
      <c r="I35" s="684"/>
      <c r="J35" s="684"/>
      <c r="K35" s="684"/>
      <c r="L35" s="684">
        <v>1050</v>
      </c>
      <c r="M35" s="684"/>
      <c r="N35" s="37"/>
      <c r="O35" s="684"/>
      <c r="P35" s="55"/>
      <c r="Q35" s="684"/>
      <c r="R35" s="684"/>
      <c r="S35" s="684"/>
      <c r="T35" s="684"/>
      <c r="U35" s="37"/>
      <c r="V35" s="684"/>
      <c r="W35" s="37"/>
      <c r="X35" s="684"/>
      <c r="Y35" s="37"/>
      <c r="Z35" s="684"/>
      <c r="AA35" s="897"/>
      <c r="AB35" s="870"/>
      <c r="AC35" s="684"/>
      <c r="AD35" s="684"/>
      <c r="AE35" s="684"/>
      <c r="AF35" s="684"/>
      <c r="AG35" s="684"/>
      <c r="AH35" s="807">
        <f t="shared" si="0"/>
        <v>1050</v>
      </c>
      <c r="AI35" s="937">
        <v>45611</v>
      </c>
      <c r="AJ35" s="42" t="s">
        <v>1529</v>
      </c>
      <c r="AK35" s="494">
        <v>1050</v>
      </c>
      <c r="AL35" s="764"/>
      <c r="AM35" s="769">
        <f t="shared" si="1"/>
        <v>0</v>
      </c>
      <c r="AN35" s="881"/>
      <c r="AO35" s="882"/>
      <c r="AP35" s="883"/>
      <c r="AQ35" s="883"/>
      <c r="AR35" s="883"/>
      <c r="AS35" s="883"/>
      <c r="AT35" s="883"/>
      <c r="AU35" s="883"/>
      <c r="AV35" s="883"/>
      <c r="AW35" s="883"/>
      <c r="AX35" s="883"/>
      <c r="AY35" s="883"/>
      <c r="AZ35" s="883"/>
      <c r="BA35" s="870"/>
    </row>
    <row r="36" spans="1:53" ht="18.75" x14ac:dyDescent="0.3">
      <c r="A36" s="957">
        <v>45594</v>
      </c>
      <c r="B36" s="171" t="s">
        <v>1398</v>
      </c>
      <c r="C36" s="955" t="s">
        <v>1390</v>
      </c>
      <c r="D36" s="775" t="s">
        <v>1391</v>
      </c>
      <c r="E36" s="684"/>
      <c r="F36" s="684"/>
      <c r="G36" s="684"/>
      <c r="H36" s="684"/>
      <c r="I36" s="684"/>
      <c r="J36" s="684"/>
      <c r="K36" s="684"/>
      <c r="L36" s="684">
        <v>1750</v>
      </c>
      <c r="M36" s="684"/>
      <c r="N36" s="37"/>
      <c r="O36" s="684"/>
      <c r="P36" s="55"/>
      <c r="Q36" s="684"/>
      <c r="R36" s="684"/>
      <c r="S36" s="684"/>
      <c r="T36" s="684"/>
      <c r="U36" s="37"/>
      <c r="V36" s="684"/>
      <c r="W36" s="37"/>
      <c r="X36" s="684"/>
      <c r="Y36" s="37"/>
      <c r="Z36" s="684"/>
      <c r="AA36" s="897"/>
      <c r="AB36" s="870"/>
      <c r="AC36" s="684"/>
      <c r="AD36" s="684"/>
      <c r="AE36" s="684"/>
      <c r="AF36" s="684"/>
      <c r="AG36" s="684"/>
      <c r="AH36" s="807">
        <f t="shared" si="0"/>
        <v>1750</v>
      </c>
      <c r="AI36" s="937">
        <v>45624</v>
      </c>
      <c r="AJ36" s="42" t="s">
        <v>1530</v>
      </c>
      <c r="AK36" s="494">
        <v>1750</v>
      </c>
      <c r="AL36" s="764"/>
      <c r="AM36" s="769">
        <f t="shared" si="1"/>
        <v>0</v>
      </c>
      <c r="AN36" s="881"/>
      <c r="AO36" s="882"/>
      <c r="AP36" s="883"/>
      <c r="AQ36" s="883"/>
      <c r="AR36" s="883"/>
      <c r="AS36" s="883"/>
      <c r="AT36" s="883"/>
      <c r="AU36" s="883"/>
      <c r="AV36" s="883"/>
      <c r="AW36" s="883"/>
      <c r="AX36" s="883"/>
      <c r="AY36" s="883"/>
      <c r="AZ36" s="883"/>
      <c r="BA36" s="870"/>
    </row>
    <row r="37" spans="1:53" ht="18.75" x14ac:dyDescent="0.3">
      <c r="A37" s="957">
        <v>45594</v>
      </c>
      <c r="B37" s="171" t="s">
        <v>1399</v>
      </c>
      <c r="C37" s="955" t="s">
        <v>1303</v>
      </c>
      <c r="D37" s="775" t="s">
        <v>1392</v>
      </c>
      <c r="E37" s="684"/>
      <c r="F37" s="684"/>
      <c r="G37" s="684"/>
      <c r="H37" s="684"/>
      <c r="I37" s="684"/>
      <c r="J37" s="684"/>
      <c r="K37" s="684"/>
      <c r="L37" s="684"/>
      <c r="M37" s="684"/>
      <c r="N37" s="37"/>
      <c r="O37" s="684"/>
      <c r="P37" s="55">
        <v>5500</v>
      </c>
      <c r="Q37" s="684"/>
      <c r="R37" s="684"/>
      <c r="S37" s="684"/>
      <c r="T37" s="684"/>
      <c r="U37" s="37"/>
      <c r="V37" s="684"/>
      <c r="W37" s="37"/>
      <c r="X37" s="684"/>
      <c r="Y37" s="37"/>
      <c r="Z37" s="684"/>
      <c r="AA37" s="897"/>
      <c r="AB37" s="870"/>
      <c r="AC37" s="684"/>
      <c r="AD37" s="684"/>
      <c r="AE37" s="684"/>
      <c r="AF37" s="684"/>
      <c r="AG37" s="684"/>
      <c r="AH37" s="807">
        <f t="shared" si="0"/>
        <v>5500</v>
      </c>
      <c r="AI37" s="937">
        <v>45629</v>
      </c>
      <c r="AJ37" s="42" t="s">
        <v>1622</v>
      </c>
      <c r="AK37" s="494">
        <v>6445</v>
      </c>
      <c r="AL37" s="764"/>
      <c r="AM37" s="769">
        <f t="shared" si="1"/>
        <v>-945</v>
      </c>
      <c r="AN37" s="881"/>
      <c r="AO37" s="882"/>
      <c r="AP37" s="883"/>
      <c r="AQ37" s="883"/>
      <c r="AR37" s="883"/>
      <c r="AS37" s="883"/>
      <c r="AT37" s="883"/>
      <c r="AU37" s="883"/>
      <c r="AV37" s="883"/>
      <c r="AW37" s="883"/>
      <c r="AX37" s="883"/>
      <c r="AY37" s="883"/>
      <c r="AZ37" s="883"/>
      <c r="BA37" s="870"/>
    </row>
    <row r="38" spans="1:53" ht="37.5" x14ac:dyDescent="0.3">
      <c r="A38" s="957">
        <v>45594</v>
      </c>
      <c r="B38" s="171" t="s">
        <v>1400</v>
      </c>
      <c r="C38" s="955" t="s">
        <v>1393</v>
      </c>
      <c r="D38" s="775" t="s">
        <v>1394</v>
      </c>
      <c r="E38" s="684"/>
      <c r="F38" s="684"/>
      <c r="G38" s="684"/>
      <c r="H38" s="684"/>
      <c r="I38" s="684"/>
      <c r="J38" s="684"/>
      <c r="K38" s="684"/>
      <c r="L38" s="684"/>
      <c r="M38" s="684"/>
      <c r="N38" s="37"/>
      <c r="O38" s="684"/>
      <c r="P38" s="55">
        <v>3000</v>
      </c>
      <c r="Q38" s="684"/>
      <c r="R38" s="684"/>
      <c r="S38" s="684"/>
      <c r="T38" s="684"/>
      <c r="U38" s="37"/>
      <c r="V38" s="684"/>
      <c r="W38" s="37"/>
      <c r="X38" s="684"/>
      <c r="Y38" s="37"/>
      <c r="Z38" s="684"/>
      <c r="AA38" s="897"/>
      <c r="AB38" s="870"/>
      <c r="AC38" s="684"/>
      <c r="AD38" s="684"/>
      <c r="AE38" s="684"/>
      <c r="AF38" s="684"/>
      <c r="AG38" s="684"/>
      <c r="AH38" s="807">
        <f t="shared" si="0"/>
        <v>3000</v>
      </c>
      <c r="AI38" s="937">
        <v>45618</v>
      </c>
      <c r="AJ38" s="42" t="s">
        <v>1531</v>
      </c>
      <c r="AK38" s="494">
        <v>2760</v>
      </c>
      <c r="AL38" s="764"/>
      <c r="AM38" s="769">
        <f t="shared" si="1"/>
        <v>240</v>
      </c>
      <c r="AN38" s="881"/>
      <c r="AO38" s="882"/>
      <c r="AP38" s="883"/>
      <c r="AQ38" s="883"/>
      <c r="AR38" s="883"/>
      <c r="AS38" s="883"/>
      <c r="AT38" s="883"/>
      <c r="AU38" s="883"/>
      <c r="AV38" s="883"/>
      <c r="AW38" s="883"/>
      <c r="AX38" s="883"/>
      <c r="AY38" s="883"/>
      <c r="AZ38" s="883"/>
      <c r="BA38" s="870"/>
    </row>
    <row r="39" spans="1:53" ht="37.5" x14ac:dyDescent="0.3">
      <c r="A39" s="957">
        <v>45596</v>
      </c>
      <c r="B39" s="171" t="s">
        <v>1401</v>
      </c>
      <c r="C39" s="955" t="s">
        <v>1395</v>
      </c>
      <c r="D39" s="775" t="s">
        <v>1396</v>
      </c>
      <c r="E39" s="684"/>
      <c r="F39" s="684"/>
      <c r="G39" s="684"/>
      <c r="H39" s="684"/>
      <c r="I39" s="684"/>
      <c r="J39" s="684"/>
      <c r="K39" s="684"/>
      <c r="L39" s="684"/>
      <c r="M39" s="684"/>
      <c r="N39" s="37">
        <v>3600</v>
      </c>
      <c r="O39" s="684"/>
      <c r="P39" s="55"/>
      <c r="Q39" s="684"/>
      <c r="R39" s="684"/>
      <c r="S39" s="684"/>
      <c r="T39" s="684"/>
      <c r="U39" s="37"/>
      <c r="V39" s="684"/>
      <c r="W39" s="37"/>
      <c r="X39" s="684"/>
      <c r="Y39" s="37"/>
      <c r="Z39" s="684"/>
      <c r="AA39" s="897"/>
      <c r="AB39" s="870"/>
      <c r="AC39" s="684"/>
      <c r="AD39" s="684"/>
      <c r="AE39" s="684"/>
      <c r="AF39" s="684"/>
      <c r="AG39" s="684"/>
      <c r="AH39" s="807">
        <f t="shared" si="0"/>
        <v>3600</v>
      </c>
      <c r="AI39" s="937">
        <v>45618</v>
      </c>
      <c r="AJ39" s="42" t="s">
        <v>1532</v>
      </c>
      <c r="AK39" s="494">
        <v>3600</v>
      </c>
      <c r="AL39" s="764"/>
      <c r="AM39" s="769">
        <f t="shared" si="1"/>
        <v>0</v>
      </c>
      <c r="AN39" s="881"/>
      <c r="AO39" s="882"/>
      <c r="AP39" s="883"/>
      <c r="AQ39" s="883"/>
      <c r="AR39" s="883"/>
      <c r="AS39" s="883"/>
      <c r="AT39" s="883"/>
      <c r="AU39" s="883"/>
      <c r="AV39" s="883"/>
      <c r="AW39" s="883"/>
      <c r="AX39" s="883"/>
      <c r="AY39" s="883"/>
      <c r="AZ39" s="883"/>
      <c r="BA39" s="870"/>
    </row>
    <row r="40" spans="1:53" ht="37.5" x14ac:dyDescent="0.3">
      <c r="A40" s="957">
        <v>45596</v>
      </c>
      <c r="B40" s="171" t="s">
        <v>1404</v>
      </c>
      <c r="C40" s="955" t="s">
        <v>1402</v>
      </c>
      <c r="D40" s="775" t="s">
        <v>1403</v>
      </c>
      <c r="E40" s="684"/>
      <c r="F40" s="684"/>
      <c r="G40" s="684"/>
      <c r="H40" s="684"/>
      <c r="I40" s="684"/>
      <c r="J40" s="684"/>
      <c r="K40" s="684"/>
      <c r="L40" s="684"/>
      <c r="M40" s="684"/>
      <c r="N40" s="37"/>
      <c r="O40" s="684"/>
      <c r="P40" s="55">
        <v>2000</v>
      </c>
      <c r="Q40" s="684"/>
      <c r="R40" s="684"/>
      <c r="S40" s="684"/>
      <c r="T40" s="684"/>
      <c r="U40" s="37"/>
      <c r="V40" s="684"/>
      <c r="W40" s="37"/>
      <c r="X40" s="684"/>
      <c r="Y40" s="37"/>
      <c r="Z40" s="684"/>
      <c r="AA40" s="897"/>
      <c r="AB40" s="870"/>
      <c r="AC40" s="684"/>
      <c r="AD40" s="684"/>
      <c r="AE40" s="684"/>
      <c r="AF40" s="684"/>
      <c r="AG40" s="684"/>
      <c r="AH40" s="807">
        <f t="shared" si="0"/>
        <v>2000</v>
      </c>
      <c r="AI40" s="937">
        <v>45608</v>
      </c>
      <c r="AJ40" s="42" t="s">
        <v>1533</v>
      </c>
      <c r="AK40" s="494">
        <v>2000</v>
      </c>
      <c r="AL40" s="764"/>
      <c r="AM40" s="769">
        <f t="shared" si="1"/>
        <v>0</v>
      </c>
      <c r="AN40" s="881"/>
      <c r="AO40" s="882"/>
      <c r="AP40" s="883"/>
      <c r="AQ40" s="883"/>
      <c r="AR40" s="883"/>
      <c r="AS40" s="883"/>
      <c r="AT40" s="883"/>
      <c r="AU40" s="883"/>
      <c r="AV40" s="883"/>
      <c r="AW40" s="883"/>
      <c r="AX40" s="883"/>
      <c r="AY40" s="883"/>
      <c r="AZ40" s="883"/>
      <c r="BA40" s="870"/>
    </row>
    <row r="41" spans="1:53" ht="18.75" x14ac:dyDescent="0.3">
      <c r="A41" s="957"/>
      <c r="B41" s="171"/>
      <c r="C41" s="955"/>
      <c r="D41" s="943"/>
      <c r="E41" s="684"/>
      <c r="F41" s="684"/>
      <c r="G41" s="684"/>
      <c r="H41" s="684"/>
      <c r="I41" s="684"/>
      <c r="J41" s="684"/>
      <c r="K41" s="684"/>
      <c r="L41" s="684"/>
      <c r="M41" s="684"/>
      <c r="N41" s="37"/>
      <c r="O41" s="684"/>
      <c r="P41" s="55"/>
      <c r="Q41" s="684"/>
      <c r="R41" s="684"/>
      <c r="S41" s="684"/>
      <c r="T41" s="684"/>
      <c r="U41" s="37"/>
      <c r="V41" s="684"/>
      <c r="W41" s="37"/>
      <c r="X41" s="684"/>
      <c r="Y41" s="37"/>
      <c r="Z41" s="684"/>
      <c r="AA41" s="897"/>
      <c r="AB41" s="870"/>
      <c r="AC41" s="684"/>
      <c r="AD41" s="684"/>
      <c r="AE41" s="684"/>
      <c r="AF41" s="684"/>
      <c r="AG41" s="684"/>
      <c r="AH41" s="807">
        <f t="shared" si="0"/>
        <v>0</v>
      </c>
      <c r="AI41" s="937"/>
      <c r="AJ41" s="42"/>
      <c r="AK41" s="494"/>
      <c r="AL41" s="764"/>
      <c r="AM41" s="769">
        <f t="shared" si="1"/>
        <v>0</v>
      </c>
      <c r="AN41" s="881"/>
      <c r="AO41" s="882"/>
      <c r="AP41" s="883"/>
      <c r="AQ41" s="883"/>
      <c r="AR41" s="883"/>
      <c r="AS41" s="883"/>
      <c r="AT41" s="883"/>
      <c r="AU41" s="883"/>
      <c r="AV41" s="883"/>
      <c r="AW41" s="883"/>
      <c r="AX41" s="883"/>
      <c r="AY41" s="883"/>
      <c r="AZ41" s="883"/>
      <c r="BA41" s="870"/>
    </row>
    <row r="42" spans="1:53" ht="18.75" x14ac:dyDescent="0.3">
      <c r="A42" s="1079"/>
      <c r="B42" s="171"/>
      <c r="C42" s="955"/>
      <c r="D42" s="936"/>
      <c r="E42" s="684"/>
      <c r="F42" s="684"/>
      <c r="G42" s="684"/>
      <c r="H42" s="684"/>
      <c r="I42" s="684"/>
      <c r="J42" s="684"/>
      <c r="K42" s="684"/>
      <c r="L42" s="1078"/>
      <c r="M42" s="684"/>
      <c r="N42" s="37"/>
      <c r="O42" s="684"/>
      <c r="P42" s="37"/>
      <c r="Q42" s="684"/>
      <c r="R42" s="684"/>
      <c r="S42" s="684"/>
      <c r="T42" s="684"/>
      <c r="U42" s="37"/>
      <c r="V42" s="684"/>
      <c r="W42" s="37"/>
      <c r="X42" s="684"/>
      <c r="Y42" s="37"/>
      <c r="Z42" s="684"/>
      <c r="AA42" s="897"/>
      <c r="AB42" s="870"/>
      <c r="AC42" s="684"/>
      <c r="AD42" s="684"/>
      <c r="AE42" s="684"/>
      <c r="AF42" s="684"/>
      <c r="AG42" s="684"/>
      <c r="AH42" s="807">
        <f t="shared" si="0"/>
        <v>0</v>
      </c>
      <c r="AI42" s="937"/>
      <c r="AJ42" s="42"/>
      <c r="AK42" s="494"/>
      <c r="AL42" s="764"/>
      <c r="AM42" s="769">
        <f t="shared" si="1"/>
        <v>0</v>
      </c>
      <c r="AN42" s="881"/>
      <c r="AO42" s="882"/>
      <c r="AP42" s="883"/>
      <c r="AQ42" s="883"/>
      <c r="AR42" s="883"/>
      <c r="AS42" s="883"/>
      <c r="AT42" s="883"/>
      <c r="AU42" s="883"/>
      <c r="AV42" s="883"/>
      <c r="AW42" s="883"/>
      <c r="AX42" s="883"/>
      <c r="AY42" s="883"/>
      <c r="AZ42" s="883"/>
      <c r="BA42" s="870">
        <f t="shared" si="2"/>
        <v>0</v>
      </c>
    </row>
    <row r="43" spans="1:53" ht="18.75" x14ac:dyDescent="0.3">
      <c r="A43" s="1079"/>
      <c r="B43" s="171"/>
      <c r="C43" s="955"/>
      <c r="D43" s="936"/>
      <c r="E43" s="684"/>
      <c r="F43" s="684"/>
      <c r="G43" s="684"/>
      <c r="H43" s="684"/>
      <c r="I43" s="684"/>
      <c r="J43" s="684"/>
      <c r="K43" s="684"/>
      <c r="L43" s="684"/>
      <c r="M43" s="1080"/>
      <c r="N43" s="37"/>
      <c r="O43" s="684"/>
      <c r="P43" s="37"/>
      <c r="Q43" s="684"/>
      <c r="R43" s="684"/>
      <c r="S43" s="684"/>
      <c r="T43" s="684"/>
      <c r="U43" s="37"/>
      <c r="V43" s="684"/>
      <c r="W43" s="37"/>
      <c r="X43" s="684"/>
      <c r="Y43" s="37"/>
      <c r="Z43" s="684"/>
      <c r="AA43" s="897"/>
      <c r="AB43" s="870"/>
      <c r="AC43" s="684"/>
      <c r="AD43" s="684"/>
      <c r="AE43" s="684"/>
      <c r="AF43" s="684"/>
      <c r="AG43" s="684"/>
      <c r="AH43" s="807">
        <f t="shared" si="0"/>
        <v>0</v>
      </c>
      <c r="AI43" s="937"/>
      <c r="AJ43" s="42"/>
      <c r="AK43" s="494"/>
      <c r="AL43" s="764"/>
      <c r="AM43" s="769">
        <f t="shared" si="1"/>
        <v>0</v>
      </c>
      <c r="AN43" s="881"/>
      <c r="AO43" s="882"/>
      <c r="AP43" s="883"/>
      <c r="AQ43" s="883"/>
      <c r="AR43" s="883"/>
      <c r="AS43" s="883"/>
      <c r="AT43" s="883"/>
      <c r="AU43" s="883"/>
      <c r="AV43" s="883"/>
      <c r="AW43" s="883"/>
      <c r="AX43" s="883"/>
      <c r="AY43" s="883"/>
      <c r="AZ43" s="883"/>
      <c r="BA43" s="870">
        <f t="shared" si="2"/>
        <v>0</v>
      </c>
    </row>
    <row r="44" spans="1:53" ht="18.75" x14ac:dyDescent="0.3">
      <c r="A44" s="1079"/>
      <c r="B44" s="171"/>
      <c r="C44" s="955"/>
      <c r="D44" s="936"/>
      <c r="E44" s="684"/>
      <c r="F44" s="684"/>
      <c r="G44" s="684"/>
      <c r="H44" s="684"/>
      <c r="I44" s="684"/>
      <c r="J44" s="684"/>
      <c r="K44" s="684"/>
      <c r="L44" s="1080"/>
      <c r="M44" s="684"/>
      <c r="N44" s="37"/>
      <c r="O44" s="684"/>
      <c r="P44" s="37"/>
      <c r="Q44" s="684"/>
      <c r="R44" s="684"/>
      <c r="S44" s="684"/>
      <c r="T44" s="684"/>
      <c r="U44" s="37"/>
      <c r="V44" s="684"/>
      <c r="W44" s="37"/>
      <c r="X44" s="684"/>
      <c r="Y44" s="37"/>
      <c r="Z44" s="684"/>
      <c r="AA44" s="897"/>
      <c r="AB44" s="870"/>
      <c r="AC44" s="684"/>
      <c r="AD44" s="684"/>
      <c r="AE44" s="684"/>
      <c r="AF44" s="684"/>
      <c r="AG44" s="684"/>
      <c r="AH44" s="807">
        <f t="shared" si="0"/>
        <v>0</v>
      </c>
      <c r="AI44" s="937"/>
      <c r="AJ44" s="42"/>
      <c r="AK44" s="494"/>
      <c r="AL44" s="764"/>
      <c r="AM44" s="769">
        <f t="shared" si="1"/>
        <v>0</v>
      </c>
      <c r="AN44" s="881"/>
      <c r="AO44" s="882"/>
      <c r="AP44" s="883"/>
      <c r="AQ44" s="883"/>
      <c r="AR44" s="883"/>
      <c r="AS44" s="883"/>
      <c r="AT44" s="883"/>
      <c r="AU44" s="883"/>
      <c r="AV44" s="883"/>
      <c r="AW44" s="883"/>
      <c r="AX44" s="883"/>
      <c r="AY44" s="883"/>
      <c r="AZ44" s="883"/>
      <c r="BA44" s="870">
        <f t="shared" si="2"/>
        <v>0</v>
      </c>
    </row>
    <row r="45" spans="1:53" ht="18.75" x14ac:dyDescent="0.3">
      <c r="A45" s="1031"/>
      <c r="B45" s="1081"/>
      <c r="C45" s="1033"/>
      <c r="D45" s="1034"/>
      <c r="E45" s="916"/>
      <c r="F45" s="916"/>
      <c r="G45" s="916"/>
      <c r="H45" s="916"/>
      <c r="I45" s="916"/>
      <c r="J45" s="916"/>
      <c r="K45" s="916"/>
      <c r="L45" s="916"/>
      <c r="M45" s="916"/>
      <c r="N45" s="888"/>
      <c r="O45" s="916"/>
      <c r="P45" s="888"/>
      <c r="Q45" s="916"/>
      <c r="R45" s="916"/>
      <c r="S45" s="916"/>
      <c r="T45" s="916"/>
      <c r="U45" s="888"/>
      <c r="V45" s="916"/>
      <c r="W45" s="888"/>
      <c r="X45" s="916"/>
      <c r="Y45" s="888"/>
      <c r="Z45" s="916"/>
      <c r="AA45" s="898"/>
      <c r="AB45" s="888"/>
      <c r="AC45" s="916"/>
      <c r="AD45" s="916"/>
      <c r="AE45" s="916"/>
      <c r="AF45" s="916"/>
      <c r="AG45" s="916"/>
      <c r="AH45" s="807">
        <f t="shared" si="0"/>
        <v>0</v>
      </c>
      <c r="AI45" s="937"/>
      <c r="AJ45" s="42"/>
      <c r="AK45" s="494"/>
      <c r="AL45" s="764"/>
      <c r="AM45" s="769">
        <f t="shared" si="1"/>
        <v>0</v>
      </c>
      <c r="AN45" s="881"/>
      <c r="AO45" s="882"/>
      <c r="AP45" s="870"/>
      <c r="AQ45" s="870"/>
      <c r="AR45" s="870"/>
      <c r="AS45" s="870"/>
      <c r="AT45" s="870"/>
      <c r="AU45" s="870"/>
      <c r="AV45" s="870"/>
      <c r="AW45" s="870"/>
      <c r="AX45" s="870"/>
      <c r="AY45" s="870"/>
      <c r="AZ45" s="870"/>
      <c r="BA45" s="870">
        <f t="shared" si="2"/>
        <v>0</v>
      </c>
    </row>
    <row r="46" spans="1:53" ht="18.75" customHeight="1" x14ac:dyDescent="0.3">
      <c r="A46" s="740"/>
      <c r="B46" s="499"/>
      <c r="C46" s="210"/>
      <c r="D46" s="500" t="s">
        <v>261</v>
      </c>
      <c r="E46" s="467">
        <f t="shared" ref="E46:AG46" si="3">SUM(E6:E45)</f>
        <v>11926</v>
      </c>
      <c r="F46" s="467">
        <f t="shared" si="3"/>
        <v>14409.5</v>
      </c>
      <c r="G46" s="467">
        <f t="shared" si="3"/>
        <v>0</v>
      </c>
      <c r="H46" s="467">
        <f t="shared" si="3"/>
        <v>0</v>
      </c>
      <c r="I46" s="467">
        <f t="shared" si="3"/>
        <v>0</v>
      </c>
      <c r="J46" s="467">
        <f t="shared" si="3"/>
        <v>2600</v>
      </c>
      <c r="K46" s="467">
        <f t="shared" si="3"/>
        <v>0</v>
      </c>
      <c r="L46" s="467">
        <f t="shared" si="3"/>
        <v>7875</v>
      </c>
      <c r="M46" s="467">
        <f t="shared" si="3"/>
        <v>330000</v>
      </c>
      <c r="N46" s="501">
        <f t="shared" si="3"/>
        <v>3600</v>
      </c>
      <c r="O46" s="467">
        <f t="shared" si="3"/>
        <v>0</v>
      </c>
      <c r="P46" s="467">
        <f t="shared" si="3"/>
        <v>40990</v>
      </c>
      <c r="Q46" s="467">
        <f t="shared" si="3"/>
        <v>0</v>
      </c>
      <c r="R46" s="467">
        <f t="shared" si="3"/>
        <v>0</v>
      </c>
      <c r="S46" s="467">
        <f t="shared" si="3"/>
        <v>0</v>
      </c>
      <c r="T46" s="467">
        <f t="shared" si="3"/>
        <v>214000</v>
      </c>
      <c r="U46" s="467">
        <f t="shared" si="3"/>
        <v>0</v>
      </c>
      <c r="V46" s="467">
        <f t="shared" si="3"/>
        <v>98000</v>
      </c>
      <c r="W46" s="467">
        <f t="shared" si="3"/>
        <v>0</v>
      </c>
      <c r="X46" s="467">
        <f t="shared" si="3"/>
        <v>1620000</v>
      </c>
      <c r="Y46" s="467">
        <f t="shared" si="3"/>
        <v>0</v>
      </c>
      <c r="Z46" s="467">
        <f t="shared" si="3"/>
        <v>99296</v>
      </c>
      <c r="AA46" s="899">
        <f t="shared" si="3"/>
        <v>152876.25</v>
      </c>
      <c r="AB46" s="501">
        <f t="shared" si="3"/>
        <v>350000</v>
      </c>
      <c r="AC46" s="467">
        <f t="shared" si="3"/>
        <v>184200</v>
      </c>
      <c r="AD46" s="467">
        <f t="shared" si="3"/>
        <v>0</v>
      </c>
      <c r="AE46" s="467">
        <f t="shared" si="3"/>
        <v>0</v>
      </c>
      <c r="AF46" s="467">
        <f t="shared" si="3"/>
        <v>0</v>
      </c>
      <c r="AG46" s="467">
        <f t="shared" si="3"/>
        <v>0</v>
      </c>
      <c r="AH46" s="1167">
        <f t="shared" si="0"/>
        <v>3129772.75</v>
      </c>
      <c r="AI46" s="937"/>
      <c r="AJ46" s="27"/>
      <c r="AK46" s="873"/>
      <c r="AL46" s="861"/>
      <c r="AM46" s="769"/>
      <c r="AN46" s="884"/>
      <c r="AO46" s="885"/>
      <c r="AP46" s="879"/>
      <c r="AQ46" s="887"/>
      <c r="AR46" s="887"/>
      <c r="AS46" s="887"/>
      <c r="AT46" s="887"/>
      <c r="AU46" s="887"/>
      <c r="AV46" s="887"/>
      <c r="AW46" s="887"/>
      <c r="AX46" s="887"/>
      <c r="AY46" s="887"/>
      <c r="AZ46" s="887"/>
      <c r="BA46" s="887"/>
    </row>
    <row r="47" spans="1:53" ht="18.75" customHeight="1" x14ac:dyDescent="0.3">
      <c r="A47" s="740"/>
      <c r="B47" s="499"/>
      <c r="C47" s="210"/>
      <c r="D47" s="500" t="s">
        <v>214</v>
      </c>
      <c r="E47" s="466">
        <f t="shared" ref="E47:AG47" si="4">SUM(E3+E46)</f>
        <v>11926</v>
      </c>
      <c r="F47" s="466">
        <f t="shared" si="4"/>
        <v>14409.5</v>
      </c>
      <c r="G47" s="466">
        <f t="shared" si="4"/>
        <v>0</v>
      </c>
      <c r="H47" s="466">
        <f t="shared" si="4"/>
        <v>0</v>
      </c>
      <c r="I47" s="466">
        <f t="shared" si="4"/>
        <v>0</v>
      </c>
      <c r="J47" s="466">
        <f t="shared" si="4"/>
        <v>2600</v>
      </c>
      <c r="K47" s="466">
        <f t="shared" si="4"/>
        <v>0</v>
      </c>
      <c r="L47" s="466">
        <f t="shared" si="4"/>
        <v>7875</v>
      </c>
      <c r="M47" s="466">
        <f t="shared" si="4"/>
        <v>330000</v>
      </c>
      <c r="N47" s="502">
        <f t="shared" si="4"/>
        <v>3600</v>
      </c>
      <c r="O47" s="466">
        <f t="shared" si="4"/>
        <v>0</v>
      </c>
      <c r="P47" s="466">
        <f t="shared" si="4"/>
        <v>40990</v>
      </c>
      <c r="Q47" s="466">
        <f t="shared" si="4"/>
        <v>0</v>
      </c>
      <c r="R47" s="466">
        <f t="shared" si="4"/>
        <v>0</v>
      </c>
      <c r="S47" s="466">
        <f t="shared" si="4"/>
        <v>0</v>
      </c>
      <c r="T47" s="466">
        <f t="shared" si="4"/>
        <v>214000</v>
      </c>
      <c r="U47" s="466">
        <f t="shared" si="4"/>
        <v>0</v>
      </c>
      <c r="V47" s="466">
        <f t="shared" si="4"/>
        <v>98000</v>
      </c>
      <c r="W47" s="466">
        <f t="shared" si="4"/>
        <v>0</v>
      </c>
      <c r="X47" s="466">
        <f t="shared" si="4"/>
        <v>1620000</v>
      </c>
      <c r="Y47" s="466">
        <f t="shared" si="4"/>
        <v>0</v>
      </c>
      <c r="Z47" s="466">
        <f t="shared" si="4"/>
        <v>99296</v>
      </c>
      <c r="AA47" s="900">
        <f t="shared" si="4"/>
        <v>152876.25</v>
      </c>
      <c r="AB47" s="502">
        <f t="shared" si="4"/>
        <v>350000</v>
      </c>
      <c r="AC47" s="466">
        <f t="shared" si="4"/>
        <v>184200</v>
      </c>
      <c r="AD47" s="466">
        <f t="shared" si="4"/>
        <v>0</v>
      </c>
      <c r="AE47" s="466">
        <f t="shared" si="4"/>
        <v>0</v>
      </c>
      <c r="AF47" s="466">
        <f t="shared" si="4"/>
        <v>0</v>
      </c>
      <c r="AG47" s="466">
        <f t="shared" si="4"/>
        <v>0</v>
      </c>
      <c r="AH47" s="784">
        <f t="shared" si="0"/>
        <v>3129772.75</v>
      </c>
      <c r="AI47" s="937"/>
      <c r="AJ47" s="27"/>
      <c r="AK47" s="873"/>
      <c r="AL47" s="861"/>
      <c r="AM47" s="769"/>
      <c r="AN47" s="884"/>
      <c r="AO47" s="885"/>
      <c r="AP47" s="879"/>
      <c r="AQ47" s="887"/>
      <c r="AR47" s="887"/>
      <c r="AS47" s="887"/>
      <c r="AT47" s="887"/>
      <c r="AU47" s="887"/>
      <c r="AV47" s="887"/>
      <c r="AW47" s="887"/>
      <c r="AX47" s="887"/>
      <c r="AY47" s="887"/>
      <c r="AZ47" s="887"/>
      <c r="BA47" s="887"/>
    </row>
    <row r="48" spans="1:53" ht="18.75" customHeight="1" x14ac:dyDescent="0.3">
      <c r="A48" s="741"/>
      <c r="B48" s="503"/>
      <c r="C48" s="479"/>
      <c r="D48" s="504" t="s">
        <v>215</v>
      </c>
      <c r="E48" s="472">
        <f t="shared" ref="E48:AG48" si="5">SUM(E4-E46)</f>
        <v>554874</v>
      </c>
      <c r="F48" s="472">
        <f t="shared" si="5"/>
        <v>135590.5</v>
      </c>
      <c r="G48" s="472">
        <f t="shared" si="5"/>
        <v>328000</v>
      </c>
      <c r="H48" s="472">
        <f t="shared" si="5"/>
        <v>0</v>
      </c>
      <c r="I48" s="472">
        <f t="shared" si="5"/>
        <v>0</v>
      </c>
      <c r="J48" s="472">
        <f>SUM(J4-J46)</f>
        <v>-2600</v>
      </c>
      <c r="K48" s="472">
        <f t="shared" si="5"/>
        <v>0</v>
      </c>
      <c r="L48" s="472">
        <f t="shared" si="5"/>
        <v>240025</v>
      </c>
      <c r="M48" s="472">
        <f t="shared" si="5"/>
        <v>-330000</v>
      </c>
      <c r="N48" s="505">
        <f t="shared" si="5"/>
        <v>-3600</v>
      </c>
      <c r="O48" s="472">
        <f t="shared" si="5"/>
        <v>250000</v>
      </c>
      <c r="P48" s="472">
        <f t="shared" si="5"/>
        <v>99010</v>
      </c>
      <c r="Q48" s="472">
        <f t="shared" si="5"/>
        <v>0</v>
      </c>
      <c r="R48" s="472">
        <f t="shared" si="5"/>
        <v>0</v>
      </c>
      <c r="S48" s="472">
        <f t="shared" si="5"/>
        <v>0</v>
      </c>
      <c r="T48" s="472">
        <f t="shared" si="5"/>
        <v>0</v>
      </c>
      <c r="U48" s="472">
        <f t="shared" si="5"/>
        <v>388945</v>
      </c>
      <c r="V48" s="472">
        <f t="shared" si="5"/>
        <v>-23100</v>
      </c>
      <c r="W48" s="472">
        <f t="shared" si="5"/>
        <v>1193659</v>
      </c>
      <c r="X48" s="472">
        <f>SUM(X4-X46)</f>
        <v>-115200</v>
      </c>
      <c r="Y48" s="472">
        <f t="shared" si="5"/>
        <v>189600</v>
      </c>
      <c r="Z48" s="472">
        <f t="shared" si="5"/>
        <v>0</v>
      </c>
      <c r="AA48" s="901">
        <f t="shared" si="5"/>
        <v>7123.75</v>
      </c>
      <c r="AB48" s="505">
        <f t="shared" si="5"/>
        <v>-175200</v>
      </c>
      <c r="AC48" s="472">
        <f t="shared" si="5"/>
        <v>13800</v>
      </c>
      <c r="AD48" s="472">
        <f t="shared" si="5"/>
        <v>0</v>
      </c>
      <c r="AE48" s="472">
        <f t="shared" si="5"/>
        <v>8500000</v>
      </c>
      <c r="AF48" s="472">
        <f t="shared" si="5"/>
        <v>716400</v>
      </c>
      <c r="AG48" s="472">
        <f t="shared" si="5"/>
        <v>1113800</v>
      </c>
      <c r="AH48" s="785">
        <f t="shared" si="0"/>
        <v>13081127.25</v>
      </c>
      <c r="AI48" s="937"/>
      <c r="AJ48" s="27"/>
      <c r="AK48" s="873"/>
      <c r="AL48" s="861"/>
      <c r="AM48" s="769"/>
      <c r="AN48" s="884"/>
      <c r="AO48" s="885"/>
      <c r="AP48" s="879"/>
      <c r="AQ48" s="887"/>
      <c r="AR48" s="887"/>
      <c r="AS48" s="887"/>
      <c r="AT48" s="887"/>
      <c r="AU48" s="887"/>
      <c r="AV48" s="887"/>
      <c r="AW48" s="887"/>
      <c r="AX48" s="887"/>
      <c r="AY48" s="887"/>
      <c r="AZ48" s="887"/>
      <c r="BA48" s="887"/>
    </row>
    <row r="49" spans="1:53" ht="18.75" customHeight="1" x14ac:dyDescent="0.3">
      <c r="A49" s="1035" t="s">
        <v>216</v>
      </c>
      <c r="B49" s="171"/>
      <c r="C49" s="955"/>
      <c r="D49" s="41"/>
      <c r="E49" s="684"/>
      <c r="F49" s="684"/>
      <c r="G49" s="684"/>
      <c r="H49" s="684"/>
      <c r="I49" s="684"/>
      <c r="J49" s="966"/>
      <c r="K49" s="966"/>
      <c r="L49" s="966"/>
      <c r="M49" s="684"/>
      <c r="N49" s="37"/>
      <c r="O49" s="684"/>
      <c r="P49" s="37"/>
      <c r="Q49" s="684"/>
      <c r="R49" s="684"/>
      <c r="S49" s="684"/>
      <c r="T49" s="684"/>
      <c r="U49" s="37"/>
      <c r="V49" s="684"/>
      <c r="W49" s="37"/>
      <c r="X49" s="684"/>
      <c r="Y49" s="37"/>
      <c r="Z49" s="684"/>
      <c r="AA49" s="897"/>
      <c r="AB49" s="870"/>
      <c r="AC49" s="684"/>
      <c r="AD49" s="684"/>
      <c r="AE49" s="684"/>
      <c r="AF49" s="684"/>
      <c r="AG49" s="684"/>
      <c r="AH49" s="1036"/>
      <c r="AI49" s="937"/>
      <c r="AJ49" s="42"/>
      <c r="AK49" s="494"/>
      <c r="AL49" s="764"/>
      <c r="AM49" s="769">
        <f t="shared" ref="AM49" si="6">AH49-AK49-AL49</f>
        <v>0</v>
      </c>
      <c r="AN49" s="881"/>
      <c r="AO49" s="882"/>
      <c r="AP49" s="870"/>
      <c r="AQ49" s="870"/>
      <c r="AR49" s="870"/>
      <c r="AS49" s="870"/>
      <c r="AT49" s="870"/>
      <c r="AU49" s="870"/>
      <c r="AV49" s="870"/>
      <c r="AW49" s="870"/>
      <c r="AX49" s="870"/>
      <c r="AY49" s="870"/>
      <c r="AZ49" s="870"/>
      <c r="BA49" s="870"/>
    </row>
    <row r="50" spans="1:53" ht="18.75" x14ac:dyDescent="0.3">
      <c r="A50" s="1053">
        <v>45600</v>
      </c>
      <c r="B50" s="27" t="s">
        <v>1534</v>
      </c>
      <c r="C50" s="1056" t="s">
        <v>1309</v>
      </c>
      <c r="D50" s="775" t="s">
        <v>1535</v>
      </c>
      <c r="E50" s="684"/>
      <c r="F50" s="684">
        <v>26300.6</v>
      </c>
      <c r="G50" s="684"/>
      <c r="H50" s="684"/>
      <c r="I50" s="684"/>
      <c r="J50" s="684"/>
      <c r="K50" s="684"/>
      <c r="L50" s="684"/>
      <c r="M50" s="684"/>
      <c r="N50" s="37"/>
      <c r="O50" s="684"/>
      <c r="P50" s="37"/>
      <c r="Q50" s="684"/>
      <c r="R50" s="684"/>
      <c r="S50" s="684"/>
      <c r="T50" s="684"/>
      <c r="U50" s="37"/>
      <c r="V50" s="684"/>
      <c r="W50" s="37"/>
      <c r="X50" s="684"/>
      <c r="Y50" s="37"/>
      <c r="Z50" s="684"/>
      <c r="AA50" s="897"/>
      <c r="AB50" s="870"/>
      <c r="AC50" s="684"/>
      <c r="AD50" s="684"/>
      <c r="AE50" s="684"/>
      <c r="AF50" s="684"/>
      <c r="AG50" s="684"/>
      <c r="AH50" s="807">
        <f t="shared" ref="AH50:AH80" si="7">SUM(E50:AG50)</f>
        <v>26300.6</v>
      </c>
      <c r="AI50" s="937">
        <v>45617</v>
      </c>
      <c r="AJ50" s="42" t="s">
        <v>1536</v>
      </c>
      <c r="AK50" s="494">
        <v>26300.6</v>
      </c>
      <c r="AL50" s="764"/>
      <c r="AM50" s="769">
        <f>AH50-AK50-AL50</f>
        <v>0</v>
      </c>
      <c r="AN50" s="881"/>
      <c r="AO50" s="882"/>
      <c r="AP50" s="870"/>
      <c r="AQ50" s="870"/>
      <c r="AR50" s="870"/>
      <c r="AS50" s="870"/>
      <c r="AT50" s="870"/>
      <c r="AU50" s="870"/>
      <c r="AV50" s="870"/>
      <c r="AW50" s="870"/>
      <c r="AX50" s="870"/>
      <c r="AY50" s="870"/>
      <c r="AZ50" s="870"/>
      <c r="BA50" s="870">
        <f>SUM(AO50:AZ50)</f>
        <v>0</v>
      </c>
    </row>
    <row r="51" spans="1:53" ht="37.5" x14ac:dyDescent="0.3">
      <c r="A51" s="1053">
        <v>45602</v>
      </c>
      <c r="B51" s="27" t="s">
        <v>1537</v>
      </c>
      <c r="C51" s="955" t="s">
        <v>1323</v>
      </c>
      <c r="D51" s="34" t="s">
        <v>1538</v>
      </c>
      <c r="E51" s="684"/>
      <c r="F51" s="684"/>
      <c r="G51" s="684"/>
      <c r="H51" s="684"/>
      <c r="I51" s="684"/>
      <c r="J51" s="684"/>
      <c r="K51" s="684"/>
      <c r="L51" s="684">
        <v>2100</v>
      </c>
      <c r="M51" s="684"/>
      <c r="N51" s="37"/>
      <c r="O51" s="684"/>
      <c r="P51" s="37"/>
      <c r="Q51" s="684"/>
      <c r="R51" s="684"/>
      <c r="S51" s="684"/>
      <c r="T51" s="684"/>
      <c r="U51" s="37"/>
      <c r="V51" s="684"/>
      <c r="W51" s="37"/>
      <c r="X51" s="684"/>
      <c r="Y51" s="37"/>
      <c r="Z51" s="684"/>
      <c r="AA51" s="897"/>
      <c r="AB51" s="870"/>
      <c r="AC51" s="684"/>
      <c r="AD51" s="684"/>
      <c r="AE51" s="684"/>
      <c r="AF51" s="684"/>
      <c r="AG51" s="684"/>
      <c r="AH51" s="807">
        <f t="shared" si="7"/>
        <v>2100</v>
      </c>
      <c r="AI51" s="937"/>
      <c r="AJ51" s="42"/>
      <c r="AK51" s="494"/>
      <c r="AL51" s="764"/>
      <c r="AM51" s="769">
        <f t="shared" ref="AM51:AM77" si="8">AH51-AK51-AL51</f>
        <v>2100</v>
      </c>
      <c r="AN51" s="881"/>
      <c r="AO51" s="882"/>
      <c r="AP51" s="870"/>
      <c r="AQ51" s="870"/>
      <c r="AR51" s="870"/>
      <c r="AS51" s="870"/>
      <c r="AT51" s="870"/>
      <c r="AU51" s="870"/>
      <c r="AV51" s="870"/>
      <c r="AW51" s="870"/>
      <c r="AX51" s="870"/>
      <c r="AY51" s="870"/>
      <c r="AZ51" s="870"/>
      <c r="BA51" s="870">
        <f t="shared" ref="BA51:BA77" si="9">SUM(AO51:AZ51)</f>
        <v>0</v>
      </c>
    </row>
    <row r="52" spans="1:53" ht="37.5" x14ac:dyDescent="0.3">
      <c r="A52" s="1053">
        <v>45603</v>
      </c>
      <c r="B52" s="27" t="s">
        <v>1539</v>
      </c>
      <c r="C52" s="955" t="s">
        <v>1540</v>
      </c>
      <c r="D52" s="34" t="s">
        <v>1541</v>
      </c>
      <c r="E52" s="684"/>
      <c r="F52" s="684"/>
      <c r="G52" s="684"/>
      <c r="H52" s="684"/>
      <c r="I52" s="684"/>
      <c r="J52" s="684"/>
      <c r="K52" s="684"/>
      <c r="L52" s="684">
        <v>875</v>
      </c>
      <c r="M52" s="684"/>
      <c r="N52" s="37"/>
      <c r="O52" s="684"/>
      <c r="P52" s="37"/>
      <c r="Q52" s="684"/>
      <c r="R52" s="684"/>
      <c r="S52" s="684"/>
      <c r="T52" s="684"/>
      <c r="U52" s="37"/>
      <c r="V52" s="684"/>
      <c r="W52" s="37"/>
      <c r="X52" s="684"/>
      <c r="Y52" s="37"/>
      <c r="Z52" s="684"/>
      <c r="AA52" s="897"/>
      <c r="AB52" s="870"/>
      <c r="AC52" s="684"/>
      <c r="AD52" s="684"/>
      <c r="AE52" s="684"/>
      <c r="AF52" s="684"/>
      <c r="AG52" s="684"/>
      <c r="AH52" s="807">
        <f t="shared" si="7"/>
        <v>875</v>
      </c>
      <c r="AI52" s="937"/>
      <c r="AJ52" s="65"/>
      <c r="AK52" s="494"/>
      <c r="AL52" s="764"/>
      <c r="AM52" s="769">
        <f t="shared" si="8"/>
        <v>875</v>
      </c>
      <c r="AN52" s="881"/>
      <c r="AO52" s="882"/>
      <c r="AP52" s="870"/>
      <c r="AQ52" s="870"/>
      <c r="AR52" s="870"/>
      <c r="AS52" s="870"/>
      <c r="AT52" s="870"/>
      <c r="AU52" s="870"/>
      <c r="AV52" s="870"/>
      <c r="AW52" s="870"/>
      <c r="AX52" s="870"/>
      <c r="AY52" s="870"/>
      <c r="AZ52" s="870"/>
      <c r="BA52" s="870">
        <f t="shared" si="9"/>
        <v>0</v>
      </c>
    </row>
    <row r="53" spans="1:53" ht="37.5" x14ac:dyDescent="0.3">
      <c r="A53" s="1053">
        <v>45604</v>
      </c>
      <c r="B53" s="27" t="s">
        <v>1542</v>
      </c>
      <c r="C53" s="840" t="s">
        <v>1543</v>
      </c>
      <c r="D53" s="34" t="s">
        <v>1544</v>
      </c>
      <c r="E53" s="684"/>
      <c r="F53" s="684"/>
      <c r="G53" s="684"/>
      <c r="H53" s="684"/>
      <c r="I53" s="684"/>
      <c r="J53" s="684"/>
      <c r="K53" s="684"/>
      <c r="L53" s="684">
        <v>1400</v>
      </c>
      <c r="M53" s="684"/>
      <c r="N53" s="37"/>
      <c r="O53" s="684"/>
      <c r="P53" s="37"/>
      <c r="Q53" s="684"/>
      <c r="R53" s="684"/>
      <c r="S53" s="684"/>
      <c r="T53" s="684"/>
      <c r="U53" s="37"/>
      <c r="V53" s="684"/>
      <c r="W53" s="37"/>
      <c r="X53" s="684"/>
      <c r="Y53" s="37"/>
      <c r="Z53" s="684"/>
      <c r="AA53" s="897"/>
      <c r="AB53" s="870"/>
      <c r="AC53" s="684"/>
      <c r="AD53" s="684"/>
      <c r="AE53" s="684"/>
      <c r="AF53" s="684"/>
      <c r="AG53" s="684"/>
      <c r="AH53" s="807">
        <f t="shared" si="7"/>
        <v>1400</v>
      </c>
      <c r="AI53" s="940">
        <v>45625</v>
      </c>
      <c r="AJ53" s="874" t="s">
        <v>1545</v>
      </c>
      <c r="AK53" s="875">
        <v>1400</v>
      </c>
      <c r="AL53" s="764"/>
      <c r="AM53" s="769">
        <f t="shared" si="8"/>
        <v>0</v>
      </c>
      <c r="AN53" s="881"/>
      <c r="AO53" s="882"/>
      <c r="AP53" s="870"/>
      <c r="AQ53" s="870"/>
      <c r="AR53" s="870"/>
      <c r="AS53" s="870"/>
      <c r="AT53" s="870"/>
      <c r="AU53" s="870"/>
      <c r="AV53" s="870"/>
      <c r="AW53" s="870"/>
      <c r="AX53" s="870"/>
      <c r="AY53" s="870"/>
      <c r="AZ53" s="870"/>
      <c r="BA53" s="870">
        <f t="shared" si="9"/>
        <v>0</v>
      </c>
    </row>
    <row r="54" spans="1:53" ht="18.75" x14ac:dyDescent="0.3">
      <c r="A54" s="1053">
        <v>45607</v>
      </c>
      <c r="B54" s="27" t="s">
        <v>1546</v>
      </c>
      <c r="C54" s="955" t="s">
        <v>1390</v>
      </c>
      <c r="D54" s="34" t="s">
        <v>1547</v>
      </c>
      <c r="E54" s="684"/>
      <c r="F54" s="684"/>
      <c r="G54" s="684"/>
      <c r="H54" s="684"/>
      <c r="I54" s="684"/>
      <c r="J54" s="684"/>
      <c r="K54" s="684"/>
      <c r="L54" s="684">
        <v>5100</v>
      </c>
      <c r="M54" s="684"/>
      <c r="N54" s="37"/>
      <c r="O54" s="684"/>
      <c r="P54" s="37"/>
      <c r="Q54" s="684"/>
      <c r="R54" s="684"/>
      <c r="S54" s="684"/>
      <c r="T54" s="684"/>
      <c r="U54" s="37"/>
      <c r="V54" s="684"/>
      <c r="W54" s="37"/>
      <c r="X54" s="684"/>
      <c r="Y54" s="37"/>
      <c r="Z54" s="684"/>
      <c r="AA54" s="897"/>
      <c r="AB54" s="870"/>
      <c r="AC54" s="684"/>
      <c r="AD54" s="684"/>
      <c r="AE54" s="684"/>
      <c r="AF54" s="684"/>
      <c r="AG54" s="684"/>
      <c r="AH54" s="807">
        <f t="shared" si="7"/>
        <v>5100</v>
      </c>
      <c r="AI54" s="940">
        <v>45638</v>
      </c>
      <c r="AJ54" s="874" t="s">
        <v>1633</v>
      </c>
      <c r="AK54" s="494">
        <v>5100</v>
      </c>
      <c r="AL54" s="764"/>
      <c r="AM54" s="769">
        <f t="shared" si="8"/>
        <v>0</v>
      </c>
      <c r="AN54" s="881"/>
      <c r="AO54" s="882"/>
      <c r="AP54" s="870"/>
      <c r="AQ54" s="886"/>
      <c r="AR54" s="870"/>
      <c r="AS54" s="870"/>
      <c r="AT54" s="870"/>
      <c r="AU54" s="870"/>
      <c r="AV54" s="870"/>
      <c r="AW54" s="870"/>
      <c r="AX54" s="870"/>
      <c r="AY54" s="870"/>
      <c r="AZ54" s="870"/>
      <c r="BA54" s="870">
        <f t="shared" si="9"/>
        <v>0</v>
      </c>
    </row>
    <row r="55" spans="1:53" ht="56.25" x14ac:dyDescent="0.3">
      <c r="A55" s="1053">
        <v>45608</v>
      </c>
      <c r="B55" s="42" t="s">
        <v>1498</v>
      </c>
      <c r="C55" s="955" t="s">
        <v>1499</v>
      </c>
      <c r="D55" s="34" t="s">
        <v>1548</v>
      </c>
      <c r="E55" s="684"/>
      <c r="F55" s="684"/>
      <c r="G55" s="684"/>
      <c r="H55" s="684"/>
      <c r="I55" s="684"/>
      <c r="J55" s="684"/>
      <c r="K55" s="684"/>
      <c r="L55" s="684">
        <v>60</v>
      </c>
      <c r="M55" s="684"/>
      <c r="N55" s="37"/>
      <c r="O55" s="684"/>
      <c r="P55" s="37"/>
      <c r="Q55" s="684"/>
      <c r="R55" s="684"/>
      <c r="S55" s="684"/>
      <c r="T55" s="684"/>
      <c r="U55" s="37"/>
      <c r="V55" s="684"/>
      <c r="W55" s="37"/>
      <c r="X55" s="684"/>
      <c r="Y55" s="37"/>
      <c r="Z55" s="684"/>
      <c r="AA55" s="897"/>
      <c r="AB55" s="870"/>
      <c r="AC55" s="684"/>
      <c r="AD55" s="684"/>
      <c r="AE55" s="684"/>
      <c r="AF55" s="684"/>
      <c r="AG55" s="684"/>
      <c r="AH55" s="807">
        <f t="shared" si="7"/>
        <v>60</v>
      </c>
      <c r="AI55" s="940">
        <v>45615</v>
      </c>
      <c r="AJ55" s="874" t="s">
        <v>1549</v>
      </c>
      <c r="AK55" s="494">
        <v>60</v>
      </c>
      <c r="AL55" s="764"/>
      <c r="AM55" s="769">
        <f t="shared" si="8"/>
        <v>0</v>
      </c>
      <c r="AN55" s="881"/>
      <c r="AO55" s="882"/>
      <c r="AP55" s="870"/>
      <c r="AQ55" s="870"/>
      <c r="AR55" s="870"/>
      <c r="AS55" s="870"/>
      <c r="AT55" s="870"/>
      <c r="AU55" s="870"/>
      <c r="AV55" s="870"/>
      <c r="AW55" s="870"/>
      <c r="AX55" s="870"/>
      <c r="AY55" s="870"/>
      <c r="AZ55" s="870"/>
      <c r="BA55" s="870">
        <f t="shared" si="9"/>
        <v>0</v>
      </c>
    </row>
    <row r="56" spans="1:53" ht="18.75" x14ac:dyDescent="0.3">
      <c r="A56" s="1053">
        <v>45608</v>
      </c>
      <c r="B56" s="42" t="s">
        <v>1498</v>
      </c>
      <c r="C56" s="955" t="s">
        <v>1390</v>
      </c>
      <c r="D56" s="34" t="s">
        <v>1550</v>
      </c>
      <c r="E56" s="684"/>
      <c r="F56" s="684"/>
      <c r="G56" s="684"/>
      <c r="H56" s="684"/>
      <c r="I56" s="684"/>
      <c r="J56" s="684"/>
      <c r="K56" s="684"/>
      <c r="L56" s="684">
        <v>2100</v>
      </c>
      <c r="M56" s="684"/>
      <c r="N56" s="37"/>
      <c r="O56" s="684"/>
      <c r="P56" s="37"/>
      <c r="Q56" s="684"/>
      <c r="R56" s="684"/>
      <c r="S56" s="684"/>
      <c r="T56" s="684"/>
      <c r="U56" s="37"/>
      <c r="V56" s="684"/>
      <c r="W56" s="37"/>
      <c r="X56" s="684"/>
      <c r="Y56" s="37"/>
      <c r="Z56" s="684"/>
      <c r="AA56" s="897"/>
      <c r="AB56" s="870"/>
      <c r="AC56" s="684"/>
      <c r="AD56" s="684"/>
      <c r="AE56" s="684"/>
      <c r="AF56" s="684"/>
      <c r="AG56" s="684"/>
      <c r="AH56" s="807">
        <f t="shared" si="7"/>
        <v>2100</v>
      </c>
      <c r="AI56" s="937">
        <v>45638</v>
      </c>
      <c r="AJ56" s="876" t="s">
        <v>1634</v>
      </c>
      <c r="AK56" s="494">
        <v>2100</v>
      </c>
      <c r="AL56" s="764"/>
      <c r="AM56" s="769">
        <f t="shared" si="8"/>
        <v>0</v>
      </c>
      <c r="AN56" s="881"/>
      <c r="AO56" s="882"/>
      <c r="AP56" s="870"/>
      <c r="AQ56" s="870"/>
      <c r="AR56" s="870"/>
      <c r="AS56" s="870"/>
      <c r="AT56" s="870"/>
      <c r="AU56" s="870"/>
      <c r="AV56" s="870"/>
      <c r="AW56" s="870"/>
      <c r="AX56" s="870"/>
      <c r="AY56" s="870"/>
      <c r="AZ56" s="870"/>
      <c r="BA56" s="870">
        <f t="shared" si="9"/>
        <v>0</v>
      </c>
    </row>
    <row r="57" spans="1:53" ht="18.75" x14ac:dyDescent="0.3">
      <c r="A57" s="1053">
        <v>45609</v>
      </c>
      <c r="B57" s="42" t="s">
        <v>1551</v>
      </c>
      <c r="C57" s="955" t="s">
        <v>1321</v>
      </c>
      <c r="D57" s="34" t="s">
        <v>1552</v>
      </c>
      <c r="E57" s="684"/>
      <c r="F57" s="684"/>
      <c r="G57" s="684"/>
      <c r="H57" s="684"/>
      <c r="I57" s="684"/>
      <c r="J57" s="684"/>
      <c r="K57" s="684"/>
      <c r="L57" s="684"/>
      <c r="M57" s="684"/>
      <c r="N57" s="37"/>
      <c r="O57" s="684"/>
      <c r="P57" s="37"/>
      <c r="Q57" s="684"/>
      <c r="R57" s="684"/>
      <c r="S57" s="684"/>
      <c r="T57" s="684"/>
      <c r="U57" s="37"/>
      <c r="V57" s="684"/>
      <c r="W57" s="37"/>
      <c r="X57" s="684"/>
      <c r="Y57" s="37"/>
      <c r="Z57" s="684"/>
      <c r="AA57" s="897"/>
      <c r="AB57" s="870"/>
      <c r="AC57" s="684">
        <v>90000</v>
      </c>
      <c r="AD57" s="684"/>
      <c r="AE57" s="684"/>
      <c r="AF57" s="684"/>
      <c r="AG57" s="684"/>
      <c r="AH57" s="1036">
        <f t="shared" si="7"/>
        <v>90000</v>
      </c>
      <c r="AI57" s="940">
        <v>45685</v>
      </c>
      <c r="AJ57" s="874" t="s">
        <v>1850</v>
      </c>
      <c r="AK57" s="494">
        <v>90000</v>
      </c>
      <c r="AL57" s="764"/>
      <c r="AM57" s="769">
        <f t="shared" si="8"/>
        <v>0</v>
      </c>
      <c r="AN57" s="881"/>
      <c r="AO57" s="882"/>
      <c r="AP57" s="870"/>
      <c r="AQ57" s="870"/>
      <c r="AR57" s="870"/>
      <c r="AS57" s="870"/>
      <c r="AT57" s="870"/>
      <c r="AU57" s="870"/>
      <c r="AV57" s="870"/>
      <c r="AW57" s="870"/>
      <c r="AX57" s="870"/>
      <c r="AY57" s="870"/>
      <c r="AZ57" s="870"/>
      <c r="BA57" s="870">
        <f t="shared" si="9"/>
        <v>0</v>
      </c>
    </row>
    <row r="58" spans="1:53" ht="18.75" x14ac:dyDescent="0.3">
      <c r="A58" s="1053">
        <v>45610</v>
      </c>
      <c r="B58" s="42" t="s">
        <v>1553</v>
      </c>
      <c r="C58" s="955" t="s">
        <v>1554</v>
      </c>
      <c r="D58" s="34" t="s">
        <v>1555</v>
      </c>
      <c r="E58" s="684"/>
      <c r="F58" s="684"/>
      <c r="G58" s="684"/>
      <c r="H58" s="684"/>
      <c r="I58" s="684"/>
      <c r="J58" s="684"/>
      <c r="K58" s="684"/>
      <c r="L58" s="684">
        <v>700</v>
      </c>
      <c r="M58" s="684"/>
      <c r="N58" s="37"/>
      <c r="O58" s="684"/>
      <c r="P58" s="37"/>
      <c r="Q58" s="684"/>
      <c r="R58" s="684"/>
      <c r="S58" s="684"/>
      <c r="T58" s="684"/>
      <c r="U58" s="37"/>
      <c r="V58" s="684"/>
      <c r="W58" s="37"/>
      <c r="X58" s="684"/>
      <c r="Y58" s="37"/>
      <c r="Z58" s="684"/>
      <c r="AA58" s="897"/>
      <c r="AB58" s="870"/>
      <c r="AC58" s="684"/>
      <c r="AD58" s="684"/>
      <c r="AE58" s="684"/>
      <c r="AF58" s="684"/>
      <c r="AG58" s="684"/>
      <c r="AH58" s="807">
        <f t="shared" si="7"/>
        <v>700</v>
      </c>
      <c r="AI58" s="940"/>
      <c r="AJ58" s="874"/>
      <c r="AK58" s="494"/>
      <c r="AL58" s="764"/>
      <c r="AM58" s="769">
        <f t="shared" si="8"/>
        <v>700</v>
      </c>
      <c r="AN58" s="881"/>
      <c r="AO58" s="886"/>
      <c r="AP58" s="886"/>
      <c r="AQ58" s="870"/>
      <c r="AR58" s="870"/>
      <c r="AS58" s="870"/>
      <c r="AT58" s="870"/>
      <c r="AU58" s="870"/>
      <c r="AV58" s="870"/>
      <c r="AW58" s="870"/>
      <c r="AX58" s="870"/>
      <c r="AY58" s="870"/>
      <c r="AZ58" s="870"/>
      <c r="BA58" s="870">
        <f t="shared" si="9"/>
        <v>0</v>
      </c>
    </row>
    <row r="59" spans="1:53" ht="37.5" x14ac:dyDescent="0.3">
      <c r="A59" s="1053">
        <v>45611</v>
      </c>
      <c r="B59" s="42" t="s">
        <v>1556</v>
      </c>
      <c r="C59" s="955" t="s">
        <v>1557</v>
      </c>
      <c r="D59" s="34" t="s">
        <v>1558</v>
      </c>
      <c r="E59" s="684"/>
      <c r="F59" s="684"/>
      <c r="G59" s="684"/>
      <c r="H59" s="684"/>
      <c r="I59" s="684"/>
      <c r="J59" s="684"/>
      <c r="K59" s="684"/>
      <c r="L59" s="684"/>
      <c r="M59" s="684"/>
      <c r="N59" s="37"/>
      <c r="O59" s="684"/>
      <c r="P59" s="37">
        <v>3000</v>
      </c>
      <c r="Q59" s="684"/>
      <c r="R59" s="684"/>
      <c r="S59" s="684"/>
      <c r="T59" s="684"/>
      <c r="U59" s="37"/>
      <c r="V59" s="684"/>
      <c r="W59" s="37"/>
      <c r="X59" s="684"/>
      <c r="Y59" s="37"/>
      <c r="Z59" s="684"/>
      <c r="AA59" s="897"/>
      <c r="AB59" s="870"/>
      <c r="AC59" s="684"/>
      <c r="AD59" s="684"/>
      <c r="AE59" s="684"/>
      <c r="AF59" s="684"/>
      <c r="AG59" s="684"/>
      <c r="AH59" s="807">
        <f t="shared" si="7"/>
        <v>3000</v>
      </c>
      <c r="AI59" s="937">
        <v>45629</v>
      </c>
      <c r="AJ59" s="42" t="s">
        <v>1636</v>
      </c>
      <c r="AK59" s="494">
        <v>3000</v>
      </c>
      <c r="AL59" s="764"/>
      <c r="AM59" s="769">
        <f t="shared" si="8"/>
        <v>0</v>
      </c>
      <c r="AN59" s="881"/>
      <c r="AO59" s="882"/>
      <c r="AP59" s="883"/>
      <c r="AQ59" s="883"/>
      <c r="AR59" s="883"/>
      <c r="AS59" s="883"/>
      <c r="AT59" s="883"/>
      <c r="AU59" s="883"/>
      <c r="AV59" s="883"/>
      <c r="AW59" s="883"/>
      <c r="AX59" s="883"/>
      <c r="AY59" s="883"/>
      <c r="AZ59" s="883"/>
      <c r="BA59" s="870">
        <f t="shared" si="9"/>
        <v>0</v>
      </c>
    </row>
    <row r="60" spans="1:53" ht="37.5" x14ac:dyDescent="0.3">
      <c r="A60" s="1053">
        <v>45615</v>
      </c>
      <c r="B60" s="42" t="s">
        <v>1559</v>
      </c>
      <c r="C60" s="955" t="s">
        <v>1543</v>
      </c>
      <c r="D60" s="34" t="s">
        <v>1560</v>
      </c>
      <c r="E60" s="684"/>
      <c r="F60" s="684"/>
      <c r="G60" s="684"/>
      <c r="H60" s="684"/>
      <c r="I60" s="684"/>
      <c r="J60" s="684"/>
      <c r="K60" s="684"/>
      <c r="L60" s="684">
        <v>1400</v>
      </c>
      <c r="M60" s="684"/>
      <c r="N60" s="37"/>
      <c r="O60" s="684"/>
      <c r="P60" s="37"/>
      <c r="Q60" s="684"/>
      <c r="R60" s="684"/>
      <c r="S60" s="684"/>
      <c r="T60" s="684"/>
      <c r="U60" s="37"/>
      <c r="V60" s="684"/>
      <c r="W60" s="37"/>
      <c r="X60" s="684"/>
      <c r="Y60" s="37"/>
      <c r="Z60" s="684"/>
      <c r="AA60" s="897"/>
      <c r="AB60" s="870"/>
      <c r="AC60" s="684"/>
      <c r="AD60" s="684"/>
      <c r="AE60" s="684"/>
      <c r="AF60" s="684"/>
      <c r="AG60" s="684"/>
      <c r="AH60" s="807">
        <f t="shared" si="7"/>
        <v>1400</v>
      </c>
      <c r="AI60" s="937"/>
      <c r="AJ60" s="42"/>
      <c r="AK60" s="494"/>
      <c r="AL60" s="764"/>
      <c r="AM60" s="769">
        <f t="shared" si="8"/>
        <v>1400</v>
      </c>
      <c r="AN60" s="881"/>
      <c r="AO60" s="882"/>
      <c r="AP60" s="883"/>
      <c r="AQ60" s="883"/>
      <c r="AR60" s="883"/>
      <c r="AS60" s="883"/>
      <c r="AT60" s="883"/>
      <c r="AU60" s="883"/>
      <c r="AV60" s="883"/>
      <c r="AW60" s="883"/>
      <c r="AX60" s="883"/>
      <c r="AY60" s="883"/>
      <c r="AZ60" s="883"/>
      <c r="BA60" s="870">
        <f t="shared" si="9"/>
        <v>0</v>
      </c>
    </row>
    <row r="61" spans="1:53" ht="37.5" x14ac:dyDescent="0.3">
      <c r="A61" s="1053">
        <v>45615</v>
      </c>
      <c r="B61" s="42" t="s">
        <v>1561</v>
      </c>
      <c r="C61" s="955" t="s">
        <v>1562</v>
      </c>
      <c r="D61" s="34" t="s">
        <v>1563</v>
      </c>
      <c r="E61" s="684"/>
      <c r="F61" s="684"/>
      <c r="G61" s="684"/>
      <c r="H61" s="684"/>
      <c r="I61" s="684"/>
      <c r="J61" s="684"/>
      <c r="K61" s="684"/>
      <c r="L61" s="684"/>
      <c r="M61" s="684"/>
      <c r="N61" s="37">
        <v>15200</v>
      </c>
      <c r="O61" s="684"/>
      <c r="P61" s="37"/>
      <c r="Q61" s="684"/>
      <c r="R61" s="684"/>
      <c r="S61" s="684"/>
      <c r="T61" s="684"/>
      <c r="U61" s="37"/>
      <c r="V61" s="684"/>
      <c r="W61" s="37"/>
      <c r="X61" s="684"/>
      <c r="Y61" s="37"/>
      <c r="Z61" s="684"/>
      <c r="AA61" s="897"/>
      <c r="AB61" s="870"/>
      <c r="AC61" s="684"/>
      <c r="AD61" s="684"/>
      <c r="AE61" s="684"/>
      <c r="AF61" s="684"/>
      <c r="AG61" s="684"/>
      <c r="AH61" s="807">
        <f t="shared" si="7"/>
        <v>15200</v>
      </c>
      <c r="AI61" s="937">
        <v>45638</v>
      </c>
      <c r="AJ61" s="42" t="s">
        <v>1637</v>
      </c>
      <c r="AK61" s="494">
        <v>15200</v>
      </c>
      <c r="AL61" s="764"/>
      <c r="AM61" s="769">
        <f t="shared" si="8"/>
        <v>0</v>
      </c>
      <c r="AN61" s="881"/>
      <c r="AO61" s="882"/>
      <c r="AP61" s="883"/>
      <c r="AQ61" s="883"/>
      <c r="AR61" s="883"/>
      <c r="AS61" s="883"/>
      <c r="AT61" s="883"/>
      <c r="AU61" s="883"/>
      <c r="AV61" s="883"/>
      <c r="AW61" s="883"/>
      <c r="AX61" s="883"/>
      <c r="AY61" s="883"/>
      <c r="AZ61" s="883"/>
      <c r="BA61" s="870">
        <f t="shared" si="9"/>
        <v>0</v>
      </c>
    </row>
    <row r="62" spans="1:53" ht="18.75" x14ac:dyDescent="0.3">
      <c r="A62" s="1053">
        <v>45615</v>
      </c>
      <c r="B62" s="42" t="s">
        <v>1564</v>
      </c>
      <c r="C62" s="955" t="s">
        <v>1565</v>
      </c>
      <c r="D62" s="34" t="s">
        <v>1566</v>
      </c>
      <c r="E62" s="684"/>
      <c r="F62" s="684"/>
      <c r="G62" s="684"/>
      <c r="H62" s="684"/>
      <c r="I62" s="684"/>
      <c r="J62" s="684"/>
      <c r="K62" s="684"/>
      <c r="L62" s="684"/>
      <c r="M62" s="684"/>
      <c r="N62" s="37"/>
      <c r="O62" s="684"/>
      <c r="P62" s="37">
        <v>3220</v>
      </c>
      <c r="Q62" s="684"/>
      <c r="R62" s="684"/>
      <c r="S62" s="684"/>
      <c r="T62" s="684"/>
      <c r="U62" s="37"/>
      <c r="V62" s="684"/>
      <c r="W62" s="37"/>
      <c r="X62" s="684"/>
      <c r="Y62" s="37"/>
      <c r="Z62" s="684"/>
      <c r="AA62" s="897"/>
      <c r="AB62" s="870"/>
      <c r="AC62" s="684"/>
      <c r="AD62" s="684"/>
      <c r="AE62" s="684"/>
      <c r="AF62" s="684"/>
      <c r="AG62" s="684"/>
      <c r="AH62" s="807">
        <f t="shared" si="7"/>
        <v>3220</v>
      </c>
      <c r="AI62" s="937">
        <v>45629</v>
      </c>
      <c r="AJ62" s="42" t="s">
        <v>1638</v>
      </c>
      <c r="AK62" s="494">
        <v>1340</v>
      </c>
      <c r="AL62" s="764"/>
      <c r="AM62" s="769">
        <f t="shared" si="8"/>
        <v>1880</v>
      </c>
      <c r="AN62" s="881"/>
      <c r="AO62" s="882"/>
      <c r="AP62" s="883"/>
      <c r="AQ62" s="883"/>
      <c r="AR62" s="883"/>
      <c r="AS62" s="883"/>
      <c r="AT62" s="883"/>
      <c r="AU62" s="883"/>
      <c r="AV62" s="883"/>
      <c r="AW62" s="883"/>
      <c r="AX62" s="883"/>
      <c r="AY62" s="883"/>
      <c r="AZ62" s="883"/>
      <c r="BA62" s="870">
        <f t="shared" si="9"/>
        <v>0</v>
      </c>
    </row>
    <row r="63" spans="1:53" ht="56.25" x14ac:dyDescent="0.3">
      <c r="A63" s="1053">
        <v>45616</v>
      </c>
      <c r="B63" s="42" t="s">
        <v>1567</v>
      </c>
      <c r="C63" s="955" t="s">
        <v>1514</v>
      </c>
      <c r="D63" s="34" t="s">
        <v>1568</v>
      </c>
      <c r="E63" s="684"/>
      <c r="F63" s="684"/>
      <c r="G63" s="684"/>
      <c r="H63" s="684"/>
      <c r="I63" s="684"/>
      <c r="J63" s="684"/>
      <c r="K63" s="684"/>
      <c r="L63" s="684">
        <v>2450</v>
      </c>
      <c r="M63" s="684"/>
      <c r="N63" s="37"/>
      <c r="O63" s="684"/>
      <c r="P63" s="37"/>
      <c r="Q63" s="684"/>
      <c r="R63" s="684"/>
      <c r="S63" s="684"/>
      <c r="T63" s="684"/>
      <c r="U63" s="37"/>
      <c r="V63" s="684"/>
      <c r="W63" s="37"/>
      <c r="X63" s="684"/>
      <c r="Y63" s="37"/>
      <c r="Z63" s="684"/>
      <c r="AA63" s="897"/>
      <c r="AB63" s="870"/>
      <c r="AC63" s="684"/>
      <c r="AD63" s="684"/>
      <c r="AE63" s="684"/>
      <c r="AF63" s="684"/>
      <c r="AG63" s="684"/>
      <c r="AH63" s="807">
        <f t="shared" si="7"/>
        <v>2450</v>
      </c>
      <c r="AI63" s="937">
        <v>45637</v>
      </c>
      <c r="AJ63" s="42" t="s">
        <v>1639</v>
      </c>
      <c r="AK63" s="494">
        <v>2450</v>
      </c>
      <c r="AL63" s="764"/>
      <c r="AM63" s="769">
        <f t="shared" si="8"/>
        <v>0</v>
      </c>
      <c r="AN63" s="881"/>
      <c r="AO63" s="882"/>
      <c r="AP63" s="883"/>
      <c r="AQ63" s="883"/>
      <c r="AR63" s="883"/>
      <c r="AS63" s="883"/>
      <c r="AT63" s="883"/>
      <c r="AU63" s="883"/>
      <c r="AV63" s="883"/>
      <c r="AW63" s="883"/>
      <c r="AX63" s="883"/>
      <c r="AY63" s="883"/>
      <c r="AZ63" s="883"/>
      <c r="BA63" s="870">
        <f t="shared" si="9"/>
        <v>0</v>
      </c>
    </row>
    <row r="64" spans="1:53" ht="18.75" x14ac:dyDescent="0.3">
      <c r="A64" s="1053">
        <v>45617</v>
      </c>
      <c r="B64" s="42" t="s">
        <v>1569</v>
      </c>
      <c r="C64" s="955" t="s">
        <v>1506</v>
      </c>
      <c r="D64" s="666" t="s">
        <v>1570</v>
      </c>
      <c r="E64" s="684"/>
      <c r="F64" s="684"/>
      <c r="G64" s="684"/>
      <c r="H64" s="684"/>
      <c r="I64" s="1078"/>
      <c r="J64" s="684"/>
      <c r="K64" s="684"/>
      <c r="L64" s="684">
        <v>2500</v>
      </c>
      <c r="M64" s="684"/>
      <c r="N64" s="37"/>
      <c r="O64" s="684"/>
      <c r="P64" s="37"/>
      <c r="Q64" s="684"/>
      <c r="R64" s="684"/>
      <c r="S64" s="684"/>
      <c r="T64" s="684"/>
      <c r="U64" s="37"/>
      <c r="V64" s="684"/>
      <c r="W64" s="37"/>
      <c r="X64" s="684"/>
      <c r="Y64" s="37"/>
      <c r="Z64" s="684"/>
      <c r="AA64" s="897"/>
      <c r="AB64" s="870"/>
      <c r="AC64" s="684"/>
      <c r="AD64" s="684"/>
      <c r="AE64" s="684"/>
      <c r="AF64" s="684"/>
      <c r="AG64" s="684"/>
      <c r="AH64" s="807">
        <f t="shared" si="7"/>
        <v>2500</v>
      </c>
      <c r="AI64" s="937">
        <v>45649</v>
      </c>
      <c r="AJ64" s="42" t="s">
        <v>1640</v>
      </c>
      <c r="AK64" s="494">
        <v>2500</v>
      </c>
      <c r="AL64" s="764"/>
      <c r="AM64" s="769">
        <f t="shared" si="8"/>
        <v>0</v>
      </c>
      <c r="AN64" s="881"/>
      <c r="AO64" s="882"/>
      <c r="AP64" s="883"/>
      <c r="AQ64" s="883"/>
      <c r="AR64" s="883"/>
      <c r="AS64" s="883"/>
      <c r="AT64" s="883"/>
      <c r="AU64" s="883"/>
      <c r="AV64" s="883"/>
      <c r="AW64" s="883"/>
      <c r="AX64" s="883"/>
      <c r="AY64" s="883"/>
      <c r="AZ64" s="883"/>
      <c r="BA64" s="870">
        <f t="shared" si="9"/>
        <v>0</v>
      </c>
    </row>
    <row r="65" spans="1:53" ht="18.75" x14ac:dyDescent="0.3">
      <c r="A65" s="1053">
        <v>45617</v>
      </c>
      <c r="B65" s="42" t="s">
        <v>1505</v>
      </c>
      <c r="C65" s="955" t="s">
        <v>1506</v>
      </c>
      <c r="D65" s="666" t="s">
        <v>1571</v>
      </c>
      <c r="E65" s="684"/>
      <c r="F65" s="684"/>
      <c r="G65" s="684"/>
      <c r="H65" s="684"/>
      <c r="I65" s="684"/>
      <c r="J65" s="684"/>
      <c r="K65" s="684"/>
      <c r="L65" s="684">
        <v>6300</v>
      </c>
      <c r="M65" s="684"/>
      <c r="N65" s="37"/>
      <c r="O65" s="684"/>
      <c r="P65" s="55"/>
      <c r="Q65" s="684"/>
      <c r="R65" s="684"/>
      <c r="S65" s="684"/>
      <c r="T65" s="684"/>
      <c r="U65" s="37"/>
      <c r="V65" s="684"/>
      <c r="W65" s="37"/>
      <c r="X65" s="684"/>
      <c r="Y65" s="37"/>
      <c r="Z65" s="684"/>
      <c r="AA65" s="897"/>
      <c r="AB65" s="870"/>
      <c r="AC65" s="684"/>
      <c r="AD65" s="684"/>
      <c r="AE65" s="684"/>
      <c r="AF65" s="684"/>
      <c r="AG65" s="684"/>
      <c r="AH65" s="807">
        <f t="shared" si="7"/>
        <v>6300</v>
      </c>
      <c r="AI65" s="937">
        <v>45663</v>
      </c>
      <c r="AJ65" s="42" t="s">
        <v>1854</v>
      </c>
      <c r="AK65" s="494">
        <v>5925</v>
      </c>
      <c r="AL65" s="764"/>
      <c r="AM65" s="769">
        <f t="shared" si="8"/>
        <v>375</v>
      </c>
      <c r="AN65" s="881"/>
      <c r="AO65" s="882"/>
      <c r="AP65" s="883"/>
      <c r="AQ65" s="883"/>
      <c r="AR65" s="883"/>
      <c r="AS65" s="883"/>
      <c r="AT65" s="883"/>
      <c r="AU65" s="883"/>
      <c r="AV65" s="883"/>
      <c r="AW65" s="883"/>
      <c r="AX65" s="883"/>
      <c r="AY65" s="883"/>
      <c r="AZ65" s="883"/>
      <c r="BA65" s="870">
        <f t="shared" si="9"/>
        <v>0</v>
      </c>
    </row>
    <row r="66" spans="1:53" ht="37.5" x14ac:dyDescent="0.3">
      <c r="A66" s="1053">
        <v>45617</v>
      </c>
      <c r="B66" s="42" t="s">
        <v>1572</v>
      </c>
      <c r="C66" s="955" t="s">
        <v>1573</v>
      </c>
      <c r="D66" s="775" t="s">
        <v>1574</v>
      </c>
      <c r="E66" s="684"/>
      <c r="F66" s="684"/>
      <c r="G66" s="684">
        <v>1000</v>
      </c>
      <c r="H66" s="684"/>
      <c r="I66" s="684"/>
      <c r="J66" s="684"/>
      <c r="K66" s="684"/>
      <c r="L66" s="1078"/>
      <c r="M66" s="684"/>
      <c r="N66" s="37"/>
      <c r="O66" s="684"/>
      <c r="P66" s="37"/>
      <c r="Q66" s="684"/>
      <c r="R66" s="684"/>
      <c r="S66" s="684"/>
      <c r="T66" s="684"/>
      <c r="U66" s="37"/>
      <c r="V66" s="684"/>
      <c r="W66" s="37"/>
      <c r="X66" s="684"/>
      <c r="Y66" s="37"/>
      <c r="Z66" s="684"/>
      <c r="AA66" s="897"/>
      <c r="AB66" s="870"/>
      <c r="AC66" s="684"/>
      <c r="AD66" s="684"/>
      <c r="AE66" s="684"/>
      <c r="AF66" s="684"/>
      <c r="AG66" s="684"/>
      <c r="AH66" s="807">
        <f t="shared" si="7"/>
        <v>1000</v>
      </c>
      <c r="AI66" s="937"/>
      <c r="AJ66" s="42"/>
      <c r="AK66" s="494"/>
      <c r="AL66" s="764"/>
      <c r="AM66" s="769">
        <f t="shared" si="8"/>
        <v>1000</v>
      </c>
      <c r="AN66" s="881"/>
      <c r="AO66" s="882"/>
      <c r="AP66" s="883"/>
      <c r="AQ66" s="883"/>
      <c r="AR66" s="883"/>
      <c r="AS66" s="883"/>
      <c r="AT66" s="883"/>
      <c r="AU66" s="883"/>
      <c r="AV66" s="883"/>
      <c r="AW66" s="883"/>
      <c r="AX66" s="883"/>
      <c r="AY66" s="883"/>
      <c r="AZ66" s="883"/>
      <c r="BA66" s="870">
        <f t="shared" si="9"/>
        <v>0</v>
      </c>
    </row>
    <row r="67" spans="1:53" ht="39.75" customHeight="1" x14ac:dyDescent="0.3">
      <c r="A67" s="1053">
        <v>45621</v>
      </c>
      <c r="B67" s="42" t="s">
        <v>1508</v>
      </c>
      <c r="C67" s="955" t="s">
        <v>1499</v>
      </c>
      <c r="D67" s="775" t="s">
        <v>1575</v>
      </c>
      <c r="E67" s="684"/>
      <c r="F67" s="684"/>
      <c r="G67" s="684"/>
      <c r="H67" s="684"/>
      <c r="I67" s="684"/>
      <c r="J67" s="684"/>
      <c r="K67" s="684"/>
      <c r="L67" s="684">
        <v>60</v>
      </c>
      <c r="M67" s="684"/>
      <c r="N67" s="37"/>
      <c r="O67" s="684"/>
      <c r="P67" s="37"/>
      <c r="Q67" s="684"/>
      <c r="R67" s="684"/>
      <c r="S67" s="684"/>
      <c r="T67" s="684"/>
      <c r="U67" s="37"/>
      <c r="V67" s="684"/>
      <c r="W67" s="37"/>
      <c r="X67" s="684"/>
      <c r="Y67" s="37"/>
      <c r="Z67" s="684"/>
      <c r="AA67" s="897"/>
      <c r="AB67" s="870"/>
      <c r="AC67" s="684"/>
      <c r="AD67" s="684"/>
      <c r="AE67" s="684"/>
      <c r="AF67" s="684"/>
      <c r="AG67" s="684"/>
      <c r="AH67" s="807">
        <f t="shared" si="7"/>
        <v>60</v>
      </c>
      <c r="AI67" s="937">
        <v>45628</v>
      </c>
      <c r="AJ67" s="42" t="s">
        <v>1641</v>
      </c>
      <c r="AK67" s="494">
        <v>60</v>
      </c>
      <c r="AL67" s="764"/>
      <c r="AM67" s="769">
        <f t="shared" si="8"/>
        <v>0</v>
      </c>
      <c r="AN67" s="881"/>
      <c r="AO67" s="882"/>
      <c r="AP67" s="883"/>
      <c r="AQ67" s="883"/>
      <c r="AR67" s="883"/>
      <c r="AS67" s="883"/>
      <c r="AT67" s="883"/>
      <c r="AU67" s="883"/>
      <c r="AV67" s="883"/>
      <c r="AW67" s="883"/>
      <c r="AX67" s="883"/>
      <c r="AY67" s="883"/>
      <c r="AZ67" s="883"/>
      <c r="BA67" s="870"/>
    </row>
    <row r="68" spans="1:53" ht="37.5" x14ac:dyDescent="0.3">
      <c r="A68" s="1053">
        <v>45621</v>
      </c>
      <c r="B68" s="42" t="s">
        <v>1576</v>
      </c>
      <c r="C68" s="955" t="s">
        <v>1577</v>
      </c>
      <c r="D68" s="775" t="s">
        <v>1578</v>
      </c>
      <c r="E68" s="684"/>
      <c r="F68" s="684"/>
      <c r="G68" s="684"/>
      <c r="H68" s="684"/>
      <c r="I68" s="684"/>
      <c r="J68" s="684"/>
      <c r="K68" s="684"/>
      <c r="L68" s="684">
        <v>210</v>
      </c>
      <c r="M68" s="684"/>
      <c r="N68" s="37"/>
      <c r="O68" s="684"/>
      <c r="P68" s="37"/>
      <c r="Q68" s="684"/>
      <c r="R68" s="684"/>
      <c r="S68" s="684"/>
      <c r="T68" s="684"/>
      <c r="U68" s="37"/>
      <c r="V68" s="684"/>
      <c r="W68" s="37"/>
      <c r="X68" s="684"/>
      <c r="Y68" s="37"/>
      <c r="Z68" s="684"/>
      <c r="AA68" s="897"/>
      <c r="AB68" s="870"/>
      <c r="AC68" s="684"/>
      <c r="AD68" s="684"/>
      <c r="AE68" s="684"/>
      <c r="AF68" s="684"/>
      <c r="AG68" s="684"/>
      <c r="AH68" s="807">
        <f t="shared" si="7"/>
        <v>210</v>
      </c>
      <c r="AI68" s="937">
        <v>45637</v>
      </c>
      <c r="AJ68" s="42" t="s">
        <v>1643</v>
      </c>
      <c r="AK68" s="494">
        <v>210</v>
      </c>
      <c r="AL68" s="764"/>
      <c r="AM68" s="769">
        <f t="shared" si="8"/>
        <v>0</v>
      </c>
      <c r="AN68" s="881"/>
      <c r="AO68" s="882"/>
      <c r="AP68" s="883"/>
      <c r="AQ68" s="883"/>
      <c r="AR68" s="883"/>
      <c r="AS68" s="883"/>
      <c r="AT68" s="883"/>
      <c r="AU68" s="883"/>
      <c r="AV68" s="883"/>
      <c r="AW68" s="883"/>
      <c r="AX68" s="883"/>
      <c r="AY68" s="883"/>
      <c r="AZ68" s="883"/>
      <c r="BA68" s="870"/>
    </row>
    <row r="69" spans="1:53" ht="18.75" x14ac:dyDescent="0.3">
      <c r="A69" s="1053">
        <v>45622</v>
      </c>
      <c r="B69" s="42" t="s">
        <v>1579</v>
      </c>
      <c r="C69" s="955" t="s">
        <v>1303</v>
      </c>
      <c r="D69" s="775" t="s">
        <v>1580</v>
      </c>
      <c r="E69" s="684"/>
      <c r="F69" s="684"/>
      <c r="G69" s="684"/>
      <c r="H69" s="684"/>
      <c r="I69" s="684"/>
      <c r="J69" s="684"/>
      <c r="K69" s="684"/>
      <c r="L69" s="1078"/>
      <c r="M69" s="684"/>
      <c r="N69" s="37"/>
      <c r="O69" s="684"/>
      <c r="P69" s="37">
        <v>5000</v>
      </c>
      <c r="Q69" s="684"/>
      <c r="R69" s="684"/>
      <c r="S69" s="684"/>
      <c r="T69" s="684"/>
      <c r="U69" s="37"/>
      <c r="V69" s="684"/>
      <c r="W69" s="37"/>
      <c r="X69" s="684"/>
      <c r="Y69" s="37"/>
      <c r="Z69" s="684"/>
      <c r="AA69" s="897"/>
      <c r="AB69" s="870"/>
      <c r="AC69" s="684"/>
      <c r="AD69" s="684"/>
      <c r="AE69" s="684"/>
      <c r="AF69" s="684"/>
      <c r="AG69" s="684"/>
      <c r="AH69" s="807">
        <f t="shared" si="7"/>
        <v>5000</v>
      </c>
      <c r="AI69" s="937">
        <v>45663</v>
      </c>
      <c r="AJ69" s="42" t="s">
        <v>1855</v>
      </c>
      <c r="AK69" s="494">
        <v>3420</v>
      </c>
      <c r="AL69" s="764"/>
      <c r="AM69" s="769">
        <f t="shared" si="8"/>
        <v>1580</v>
      </c>
      <c r="AN69" s="881"/>
      <c r="AO69" s="882"/>
      <c r="AP69" s="883"/>
      <c r="AQ69" s="883"/>
      <c r="AR69" s="883"/>
      <c r="AS69" s="883"/>
      <c r="AT69" s="883"/>
      <c r="AU69" s="883"/>
      <c r="AV69" s="883"/>
      <c r="AW69" s="883"/>
      <c r="AX69" s="883"/>
      <c r="AY69" s="883"/>
      <c r="AZ69" s="883"/>
      <c r="BA69" s="870"/>
    </row>
    <row r="70" spans="1:53" ht="37.5" x14ac:dyDescent="0.3">
      <c r="A70" s="1053">
        <v>45623</v>
      </c>
      <c r="B70" s="42" t="s">
        <v>1581</v>
      </c>
      <c r="C70" s="955" t="s">
        <v>1582</v>
      </c>
      <c r="D70" s="775" t="s">
        <v>1583</v>
      </c>
      <c r="E70" s="684"/>
      <c r="F70" s="684"/>
      <c r="G70" s="684">
        <v>3500</v>
      </c>
      <c r="H70" s="684"/>
      <c r="I70" s="684"/>
      <c r="J70" s="684"/>
      <c r="K70" s="684"/>
      <c r="L70" s="684"/>
      <c r="M70" s="684"/>
      <c r="N70" s="37"/>
      <c r="O70" s="684"/>
      <c r="P70" s="37"/>
      <c r="Q70" s="684"/>
      <c r="R70" s="684"/>
      <c r="S70" s="684"/>
      <c r="T70" s="684"/>
      <c r="U70" s="37"/>
      <c r="V70" s="684"/>
      <c r="W70" s="37"/>
      <c r="X70" s="684"/>
      <c r="Y70" s="37"/>
      <c r="Z70" s="684"/>
      <c r="AA70" s="897"/>
      <c r="AB70" s="870"/>
      <c r="AC70" s="684"/>
      <c r="AD70" s="684"/>
      <c r="AE70" s="684"/>
      <c r="AF70" s="684"/>
      <c r="AG70" s="684"/>
      <c r="AH70" s="807">
        <f t="shared" si="7"/>
        <v>3500</v>
      </c>
      <c r="AI70" s="937">
        <v>45624</v>
      </c>
      <c r="AJ70" s="42" t="s">
        <v>1584</v>
      </c>
      <c r="AK70" s="494">
        <v>3500</v>
      </c>
      <c r="AL70" s="764"/>
      <c r="AM70" s="769">
        <f t="shared" si="8"/>
        <v>0</v>
      </c>
      <c r="AN70" s="881"/>
      <c r="AO70" s="882"/>
      <c r="AP70" s="883"/>
      <c r="AQ70" s="883"/>
      <c r="AR70" s="883"/>
      <c r="AS70" s="883"/>
      <c r="AT70" s="883"/>
      <c r="AU70" s="883"/>
      <c r="AV70" s="883"/>
      <c r="AW70" s="883"/>
      <c r="AX70" s="883"/>
      <c r="AY70" s="883"/>
      <c r="AZ70" s="883"/>
      <c r="BA70" s="870"/>
    </row>
    <row r="71" spans="1:53" ht="37.5" x14ac:dyDescent="0.3">
      <c r="A71" s="1053">
        <v>45623</v>
      </c>
      <c r="B71" s="42" t="s">
        <v>1585</v>
      </c>
      <c r="C71" s="955" t="s">
        <v>1499</v>
      </c>
      <c r="D71" s="775" t="s">
        <v>1586</v>
      </c>
      <c r="E71" s="684"/>
      <c r="F71" s="684"/>
      <c r="G71" s="684"/>
      <c r="H71" s="684"/>
      <c r="I71" s="684"/>
      <c r="J71" s="684"/>
      <c r="K71" s="684"/>
      <c r="L71" s="684">
        <v>90</v>
      </c>
      <c r="M71" s="684"/>
      <c r="N71" s="37"/>
      <c r="O71" s="684"/>
      <c r="P71" s="37"/>
      <c r="Q71" s="684"/>
      <c r="R71" s="684"/>
      <c r="S71" s="684"/>
      <c r="T71" s="684"/>
      <c r="U71" s="37"/>
      <c r="V71" s="684"/>
      <c r="W71" s="37"/>
      <c r="X71" s="684"/>
      <c r="Y71" s="37"/>
      <c r="Z71" s="684"/>
      <c r="AA71" s="897"/>
      <c r="AB71" s="870"/>
      <c r="AC71" s="684"/>
      <c r="AD71" s="684"/>
      <c r="AE71" s="684"/>
      <c r="AF71" s="684"/>
      <c r="AG71" s="684"/>
      <c r="AH71" s="807">
        <f t="shared" si="7"/>
        <v>90</v>
      </c>
      <c r="AI71" s="937">
        <v>45637</v>
      </c>
      <c r="AJ71" s="42" t="s">
        <v>1644</v>
      </c>
      <c r="AK71" s="494">
        <v>90</v>
      </c>
      <c r="AL71" s="764"/>
      <c r="AM71" s="769">
        <f t="shared" si="8"/>
        <v>0</v>
      </c>
      <c r="AN71" s="881"/>
      <c r="AO71" s="882"/>
      <c r="AP71" s="883"/>
      <c r="AQ71" s="883"/>
      <c r="AR71" s="883"/>
      <c r="AS71" s="883"/>
      <c r="AT71" s="883"/>
      <c r="AU71" s="883"/>
      <c r="AV71" s="883"/>
      <c r="AW71" s="883"/>
      <c r="AX71" s="883"/>
      <c r="AY71" s="883"/>
      <c r="AZ71" s="883"/>
      <c r="BA71" s="870"/>
    </row>
    <row r="72" spans="1:53" ht="37.5" x14ac:dyDescent="0.3">
      <c r="A72" s="1053">
        <v>45624</v>
      </c>
      <c r="B72" s="42" t="s">
        <v>1587</v>
      </c>
      <c r="C72" s="955" t="s">
        <v>1323</v>
      </c>
      <c r="D72" s="775" t="s">
        <v>1588</v>
      </c>
      <c r="E72" s="684"/>
      <c r="F72" s="684"/>
      <c r="G72" s="684"/>
      <c r="H72" s="684"/>
      <c r="I72" s="684"/>
      <c r="J72" s="684"/>
      <c r="K72" s="684"/>
      <c r="L72" s="684"/>
      <c r="M72" s="684"/>
      <c r="N72" s="37"/>
      <c r="O72" s="684"/>
      <c r="P72" s="37">
        <v>1000</v>
      </c>
      <c r="Q72" s="684"/>
      <c r="R72" s="684"/>
      <c r="S72" s="684"/>
      <c r="T72" s="684"/>
      <c r="U72" s="37"/>
      <c r="V72" s="684"/>
      <c r="W72" s="37"/>
      <c r="X72" s="684"/>
      <c r="Y72" s="37"/>
      <c r="Z72" s="684"/>
      <c r="AA72" s="897"/>
      <c r="AB72" s="870"/>
      <c r="AC72" s="684"/>
      <c r="AD72" s="684"/>
      <c r="AE72" s="684"/>
      <c r="AF72" s="684"/>
      <c r="AG72" s="684"/>
      <c r="AH72" s="807">
        <f t="shared" si="7"/>
        <v>1000</v>
      </c>
      <c r="AI72" s="937">
        <v>45663</v>
      </c>
      <c r="AJ72" s="42" t="s">
        <v>1859</v>
      </c>
      <c r="AK72" s="494">
        <v>870</v>
      </c>
      <c r="AL72" s="764"/>
      <c r="AM72" s="769">
        <f t="shared" si="8"/>
        <v>130</v>
      </c>
      <c r="AN72" s="881"/>
      <c r="AO72" s="882"/>
      <c r="AP72" s="883"/>
      <c r="AQ72" s="883"/>
      <c r="AR72" s="883"/>
      <c r="AS72" s="883"/>
      <c r="AT72" s="883"/>
      <c r="AU72" s="883"/>
      <c r="AV72" s="883"/>
      <c r="AW72" s="883"/>
      <c r="AX72" s="883"/>
      <c r="AY72" s="883"/>
      <c r="AZ72" s="883"/>
      <c r="BA72" s="870"/>
    </row>
    <row r="73" spans="1:53" ht="37.5" x14ac:dyDescent="0.3">
      <c r="A73" s="1053">
        <v>45625</v>
      </c>
      <c r="B73" s="42" t="s">
        <v>1589</v>
      </c>
      <c r="C73" s="955" t="s">
        <v>1590</v>
      </c>
      <c r="D73" s="775" t="s">
        <v>1591</v>
      </c>
      <c r="E73" s="684"/>
      <c r="F73" s="684"/>
      <c r="G73" s="684"/>
      <c r="H73" s="684"/>
      <c r="I73" s="684"/>
      <c r="J73" s="684"/>
      <c r="K73" s="684"/>
      <c r="L73" s="684"/>
      <c r="M73" s="684"/>
      <c r="N73" s="37"/>
      <c r="O73" s="684"/>
      <c r="P73" s="37">
        <v>2000</v>
      </c>
      <c r="Q73" s="684"/>
      <c r="R73" s="684"/>
      <c r="S73" s="684"/>
      <c r="T73" s="684"/>
      <c r="U73" s="37"/>
      <c r="V73" s="684"/>
      <c r="W73" s="37"/>
      <c r="X73" s="684"/>
      <c r="Y73" s="37"/>
      <c r="Z73" s="684"/>
      <c r="AA73" s="897"/>
      <c r="AB73" s="870"/>
      <c r="AC73" s="684"/>
      <c r="AD73" s="684"/>
      <c r="AE73" s="684"/>
      <c r="AF73" s="684"/>
      <c r="AG73" s="684"/>
      <c r="AH73" s="807">
        <f t="shared" si="7"/>
        <v>2000</v>
      </c>
      <c r="AI73" s="937">
        <v>45663</v>
      </c>
      <c r="AJ73" s="42" t="s">
        <v>1860</v>
      </c>
      <c r="AK73" s="494">
        <v>1840</v>
      </c>
      <c r="AL73" s="764"/>
      <c r="AM73" s="769">
        <f t="shared" si="8"/>
        <v>160</v>
      </c>
      <c r="AN73" s="881"/>
      <c r="AO73" s="882"/>
      <c r="AP73" s="883"/>
      <c r="AQ73" s="883"/>
      <c r="AR73" s="883"/>
      <c r="AS73" s="883"/>
      <c r="AT73" s="883"/>
      <c r="AU73" s="883"/>
      <c r="AV73" s="883"/>
      <c r="AW73" s="883"/>
      <c r="AX73" s="883"/>
      <c r="AY73" s="883"/>
      <c r="AZ73" s="883"/>
      <c r="BA73" s="870"/>
    </row>
    <row r="74" spans="1:53" ht="18.75" x14ac:dyDescent="0.3">
      <c r="A74" s="1053">
        <v>45625</v>
      </c>
      <c r="B74" s="42" t="s">
        <v>1592</v>
      </c>
      <c r="C74" s="955" t="s">
        <v>1514</v>
      </c>
      <c r="D74" s="666" t="s">
        <v>1593</v>
      </c>
      <c r="E74" s="684"/>
      <c r="F74" s="684"/>
      <c r="G74" s="684"/>
      <c r="H74" s="684"/>
      <c r="I74" s="684"/>
      <c r="J74" s="684"/>
      <c r="K74" s="684"/>
      <c r="L74" s="684">
        <v>1400</v>
      </c>
      <c r="M74" s="1080"/>
      <c r="N74" s="37"/>
      <c r="O74" s="684"/>
      <c r="P74" s="37"/>
      <c r="Q74" s="684"/>
      <c r="R74" s="684"/>
      <c r="S74" s="684"/>
      <c r="T74" s="684"/>
      <c r="U74" s="37"/>
      <c r="V74" s="684"/>
      <c r="W74" s="37"/>
      <c r="X74" s="684"/>
      <c r="Y74" s="37"/>
      <c r="Z74" s="684"/>
      <c r="AA74" s="897"/>
      <c r="AB74" s="870"/>
      <c r="AC74" s="684"/>
      <c r="AD74" s="684"/>
      <c r="AE74" s="684"/>
      <c r="AF74" s="684"/>
      <c r="AG74" s="684"/>
      <c r="AH74" s="807">
        <f t="shared" si="7"/>
        <v>1400</v>
      </c>
      <c r="AI74" s="937">
        <v>45663</v>
      </c>
      <c r="AJ74" s="42" t="s">
        <v>1861</v>
      </c>
      <c r="AK74" s="494">
        <v>1400</v>
      </c>
      <c r="AL74" s="764"/>
      <c r="AM74" s="769">
        <f t="shared" si="8"/>
        <v>0</v>
      </c>
      <c r="AN74" s="881"/>
      <c r="AO74" s="882"/>
      <c r="AP74" s="883"/>
      <c r="AQ74" s="883"/>
      <c r="AR74" s="883"/>
      <c r="AS74" s="883"/>
      <c r="AT74" s="883"/>
      <c r="AU74" s="883"/>
      <c r="AV74" s="883"/>
      <c r="AW74" s="883"/>
      <c r="AX74" s="883"/>
      <c r="AY74" s="883"/>
      <c r="AZ74" s="883"/>
      <c r="BA74" s="870">
        <f t="shared" si="9"/>
        <v>0</v>
      </c>
    </row>
    <row r="75" spans="1:53" ht="18.75" x14ac:dyDescent="0.3">
      <c r="A75" s="1079"/>
      <c r="B75" s="171"/>
      <c r="C75" s="955"/>
      <c r="D75" s="666"/>
      <c r="E75" s="684"/>
      <c r="F75" s="684"/>
      <c r="G75" s="684"/>
      <c r="H75" s="684"/>
      <c r="I75" s="684"/>
      <c r="J75" s="684"/>
      <c r="K75" s="684"/>
      <c r="L75" s="684"/>
      <c r="M75" s="1080"/>
      <c r="N75" s="37"/>
      <c r="O75" s="684"/>
      <c r="P75" s="37"/>
      <c r="Q75" s="684"/>
      <c r="R75" s="684"/>
      <c r="S75" s="684"/>
      <c r="T75" s="684"/>
      <c r="U75" s="37"/>
      <c r="V75" s="684"/>
      <c r="W75" s="37"/>
      <c r="X75" s="684"/>
      <c r="Y75" s="37"/>
      <c r="Z75" s="684"/>
      <c r="AA75" s="897"/>
      <c r="AB75" s="870"/>
      <c r="AC75" s="684"/>
      <c r="AD75" s="684"/>
      <c r="AE75" s="684"/>
      <c r="AF75" s="684"/>
      <c r="AG75" s="684"/>
      <c r="AH75" s="807"/>
      <c r="AI75" s="937"/>
      <c r="AJ75" s="42"/>
      <c r="AK75" s="494"/>
      <c r="AL75" s="764"/>
      <c r="AM75" s="769"/>
      <c r="AN75" s="881"/>
      <c r="AO75" s="882"/>
      <c r="AP75" s="883"/>
      <c r="AQ75" s="883"/>
      <c r="AR75" s="883"/>
      <c r="AS75" s="883"/>
      <c r="AT75" s="883"/>
      <c r="AU75" s="883"/>
      <c r="AV75" s="883"/>
      <c r="AW75" s="883"/>
      <c r="AX75" s="883"/>
      <c r="AY75" s="883"/>
      <c r="AZ75" s="883"/>
      <c r="BA75" s="870"/>
    </row>
    <row r="76" spans="1:53" ht="18.75" x14ac:dyDescent="0.3">
      <c r="A76" s="1079"/>
      <c r="B76" s="171"/>
      <c r="C76" s="955"/>
      <c r="D76" s="666"/>
      <c r="E76" s="684"/>
      <c r="F76" s="684"/>
      <c r="G76" s="684"/>
      <c r="H76" s="684"/>
      <c r="I76" s="684"/>
      <c r="J76" s="684"/>
      <c r="K76" s="684"/>
      <c r="L76" s="1080"/>
      <c r="M76" s="684"/>
      <c r="N76" s="37"/>
      <c r="O76" s="684"/>
      <c r="P76" s="37"/>
      <c r="Q76" s="684"/>
      <c r="R76" s="684"/>
      <c r="S76" s="684"/>
      <c r="T76" s="684"/>
      <c r="U76" s="37"/>
      <c r="V76" s="684"/>
      <c r="W76" s="37"/>
      <c r="X76" s="684"/>
      <c r="Y76" s="37"/>
      <c r="Z76" s="684"/>
      <c r="AA76" s="897"/>
      <c r="AB76" s="870"/>
      <c r="AC76" s="684"/>
      <c r="AD76" s="684"/>
      <c r="AE76" s="684"/>
      <c r="AF76" s="684"/>
      <c r="AG76" s="684"/>
      <c r="AH76" s="807">
        <f t="shared" si="7"/>
        <v>0</v>
      </c>
      <c r="AI76" s="937"/>
      <c r="AJ76" s="42"/>
      <c r="AK76" s="494"/>
      <c r="AL76" s="764"/>
      <c r="AM76" s="769">
        <f t="shared" si="8"/>
        <v>0</v>
      </c>
      <c r="AN76" s="881"/>
      <c r="AO76" s="882"/>
      <c r="AP76" s="883"/>
      <c r="AQ76" s="883"/>
      <c r="AR76" s="883"/>
      <c r="AS76" s="883"/>
      <c r="AT76" s="883"/>
      <c r="AU76" s="883"/>
      <c r="AV76" s="883"/>
      <c r="AW76" s="883"/>
      <c r="AX76" s="883"/>
      <c r="AY76" s="883"/>
      <c r="AZ76" s="883"/>
      <c r="BA76" s="870">
        <f t="shared" si="9"/>
        <v>0</v>
      </c>
    </row>
    <row r="77" spans="1:53" ht="18.75" x14ac:dyDescent="0.3">
      <c r="A77" s="1031"/>
      <c r="B77" s="1081"/>
      <c r="C77" s="1033"/>
      <c r="D77" s="1034"/>
      <c r="E77" s="916"/>
      <c r="F77" s="916"/>
      <c r="G77" s="916"/>
      <c r="H77" s="916"/>
      <c r="I77" s="916"/>
      <c r="J77" s="916"/>
      <c r="K77" s="916"/>
      <c r="L77" s="916"/>
      <c r="M77" s="916"/>
      <c r="N77" s="888"/>
      <c r="O77" s="916"/>
      <c r="P77" s="888"/>
      <c r="Q77" s="916"/>
      <c r="R77" s="916"/>
      <c r="S77" s="916"/>
      <c r="T77" s="916"/>
      <c r="U77" s="888"/>
      <c r="V77" s="916"/>
      <c r="W77" s="888"/>
      <c r="X77" s="916"/>
      <c r="Y77" s="888"/>
      <c r="Z77" s="916"/>
      <c r="AA77" s="898"/>
      <c r="AB77" s="888"/>
      <c r="AC77" s="916"/>
      <c r="AD77" s="916"/>
      <c r="AE77" s="916"/>
      <c r="AF77" s="916"/>
      <c r="AG77" s="916"/>
      <c r="AH77" s="1049">
        <f t="shared" si="7"/>
        <v>0</v>
      </c>
      <c r="AI77" s="937"/>
      <c r="AJ77" s="42"/>
      <c r="AK77" s="494"/>
      <c r="AL77" s="764"/>
      <c r="AM77" s="769">
        <f t="shared" si="8"/>
        <v>0</v>
      </c>
      <c r="AN77" s="881"/>
      <c r="AO77" s="882"/>
      <c r="AP77" s="870"/>
      <c r="AQ77" s="870"/>
      <c r="AR77" s="870"/>
      <c r="AS77" s="870"/>
      <c r="AT77" s="870"/>
      <c r="AU77" s="870"/>
      <c r="AV77" s="870"/>
      <c r="AW77" s="870"/>
      <c r="AX77" s="870"/>
      <c r="AY77" s="870"/>
      <c r="AZ77" s="870"/>
      <c r="BA77" s="870">
        <f t="shared" si="9"/>
        <v>0</v>
      </c>
    </row>
    <row r="78" spans="1:53" ht="18.75" customHeight="1" x14ac:dyDescent="0.3">
      <c r="A78" s="742"/>
      <c r="B78" s="506"/>
      <c r="C78" s="482"/>
      <c r="D78" s="507" t="s">
        <v>217</v>
      </c>
      <c r="E78" s="156">
        <f t="shared" ref="E78:AG78" si="10">SUM(E49:E77)</f>
        <v>0</v>
      </c>
      <c r="F78" s="156">
        <f t="shared" si="10"/>
        <v>26300.6</v>
      </c>
      <c r="G78" s="156">
        <f t="shared" si="10"/>
        <v>4500</v>
      </c>
      <c r="H78" s="156">
        <f t="shared" si="10"/>
        <v>0</v>
      </c>
      <c r="I78" s="156">
        <f t="shared" si="10"/>
        <v>0</v>
      </c>
      <c r="J78" s="156">
        <f t="shared" si="10"/>
        <v>0</v>
      </c>
      <c r="K78" s="156">
        <f t="shared" si="10"/>
        <v>0</v>
      </c>
      <c r="L78" s="156">
        <f t="shared" si="10"/>
        <v>26745</v>
      </c>
      <c r="M78" s="156">
        <f t="shared" si="10"/>
        <v>0</v>
      </c>
      <c r="N78" s="508">
        <f t="shared" si="10"/>
        <v>15200</v>
      </c>
      <c r="O78" s="156">
        <f t="shared" si="10"/>
        <v>0</v>
      </c>
      <c r="P78" s="156">
        <f t="shared" si="10"/>
        <v>14220</v>
      </c>
      <c r="Q78" s="156">
        <f t="shared" si="10"/>
        <v>0</v>
      </c>
      <c r="R78" s="156">
        <f t="shared" si="10"/>
        <v>0</v>
      </c>
      <c r="S78" s="156">
        <f t="shared" si="10"/>
        <v>0</v>
      </c>
      <c r="T78" s="156">
        <f t="shared" si="10"/>
        <v>0</v>
      </c>
      <c r="U78" s="156">
        <f t="shared" si="10"/>
        <v>0</v>
      </c>
      <c r="V78" s="156">
        <f t="shared" si="10"/>
        <v>0</v>
      </c>
      <c r="W78" s="156">
        <f t="shared" si="10"/>
        <v>0</v>
      </c>
      <c r="X78" s="156">
        <f t="shared" si="10"/>
        <v>0</v>
      </c>
      <c r="Y78" s="156">
        <f t="shared" si="10"/>
        <v>0</v>
      </c>
      <c r="Z78" s="156">
        <f t="shared" si="10"/>
        <v>0</v>
      </c>
      <c r="AA78" s="902">
        <f t="shared" si="10"/>
        <v>0</v>
      </c>
      <c r="AB78" s="508">
        <f t="shared" si="10"/>
        <v>0</v>
      </c>
      <c r="AC78" s="156">
        <f t="shared" si="10"/>
        <v>90000</v>
      </c>
      <c r="AD78" s="156">
        <f t="shared" si="10"/>
        <v>0</v>
      </c>
      <c r="AE78" s="156">
        <f t="shared" si="10"/>
        <v>0</v>
      </c>
      <c r="AF78" s="156">
        <f t="shared" si="10"/>
        <v>0</v>
      </c>
      <c r="AG78" s="156">
        <f t="shared" si="10"/>
        <v>0</v>
      </c>
      <c r="AH78" s="786">
        <f t="shared" si="7"/>
        <v>176965.6</v>
      </c>
      <c r="AI78" s="937"/>
      <c r="AJ78" s="490"/>
      <c r="AK78" s="509"/>
      <c r="AL78" s="765"/>
      <c r="AM78" s="769"/>
      <c r="AN78" s="396"/>
      <c r="AO78" s="397"/>
      <c r="AP78" s="37"/>
      <c r="AQ78" s="491"/>
      <c r="AR78" s="491"/>
      <c r="AS78" s="491"/>
      <c r="AT78" s="491"/>
      <c r="AU78" s="491"/>
      <c r="AV78" s="491"/>
      <c r="AW78" s="491"/>
      <c r="AX78" s="491"/>
      <c r="AY78" s="491"/>
      <c r="AZ78" s="491"/>
      <c r="BA78" s="491"/>
    </row>
    <row r="79" spans="1:53" ht="18.75" customHeight="1" x14ac:dyDescent="0.3">
      <c r="A79" s="742"/>
      <c r="B79" s="506"/>
      <c r="C79" s="482"/>
      <c r="D79" s="507" t="s">
        <v>218</v>
      </c>
      <c r="E79" s="150">
        <f t="shared" ref="E79:AG79" si="11">SUM(E47+E78)</f>
        <v>11926</v>
      </c>
      <c r="F79" s="150">
        <f t="shared" si="11"/>
        <v>40710.1</v>
      </c>
      <c r="G79" s="150">
        <f t="shared" si="11"/>
        <v>4500</v>
      </c>
      <c r="H79" s="150">
        <f t="shared" si="11"/>
        <v>0</v>
      </c>
      <c r="I79" s="150">
        <f t="shared" si="11"/>
        <v>0</v>
      </c>
      <c r="J79" s="150">
        <f t="shared" si="11"/>
        <v>2600</v>
      </c>
      <c r="K79" s="150">
        <f t="shared" si="11"/>
        <v>0</v>
      </c>
      <c r="L79" s="150">
        <f t="shared" si="11"/>
        <v>34620</v>
      </c>
      <c r="M79" s="150">
        <f t="shared" si="11"/>
        <v>330000</v>
      </c>
      <c r="N79" s="510">
        <f t="shared" si="11"/>
        <v>18800</v>
      </c>
      <c r="O79" s="150">
        <f t="shared" si="11"/>
        <v>0</v>
      </c>
      <c r="P79" s="150">
        <f t="shared" si="11"/>
        <v>55210</v>
      </c>
      <c r="Q79" s="150">
        <f t="shared" si="11"/>
        <v>0</v>
      </c>
      <c r="R79" s="150">
        <f t="shared" si="11"/>
        <v>0</v>
      </c>
      <c r="S79" s="150">
        <f t="shared" si="11"/>
        <v>0</v>
      </c>
      <c r="T79" s="150">
        <f t="shared" si="11"/>
        <v>214000</v>
      </c>
      <c r="U79" s="150">
        <f t="shared" si="11"/>
        <v>0</v>
      </c>
      <c r="V79" s="150">
        <f t="shared" si="11"/>
        <v>98000</v>
      </c>
      <c r="W79" s="150">
        <f t="shared" si="11"/>
        <v>0</v>
      </c>
      <c r="X79" s="150">
        <f t="shared" si="11"/>
        <v>1620000</v>
      </c>
      <c r="Y79" s="150">
        <f t="shared" si="11"/>
        <v>0</v>
      </c>
      <c r="Z79" s="150">
        <f t="shared" si="11"/>
        <v>99296</v>
      </c>
      <c r="AA79" s="903">
        <f t="shared" si="11"/>
        <v>152876.25</v>
      </c>
      <c r="AB79" s="510">
        <f t="shared" si="11"/>
        <v>350000</v>
      </c>
      <c r="AC79" s="150">
        <f t="shared" si="11"/>
        <v>274200</v>
      </c>
      <c r="AD79" s="150">
        <f t="shared" si="11"/>
        <v>0</v>
      </c>
      <c r="AE79" s="150">
        <f t="shared" si="11"/>
        <v>0</v>
      </c>
      <c r="AF79" s="150">
        <f t="shared" si="11"/>
        <v>0</v>
      </c>
      <c r="AG79" s="150">
        <f t="shared" si="11"/>
        <v>0</v>
      </c>
      <c r="AH79" s="786">
        <f t="shared" si="7"/>
        <v>3306738.35</v>
      </c>
      <c r="AI79" s="937"/>
      <c r="AJ79" s="490"/>
      <c r="AK79" s="509"/>
      <c r="AL79" s="765"/>
      <c r="AM79" s="769"/>
      <c r="AN79" s="396"/>
      <c r="AO79" s="397"/>
      <c r="AP79" s="37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</row>
    <row r="80" spans="1:53" ht="18.75" customHeight="1" x14ac:dyDescent="0.3">
      <c r="A80" s="743"/>
      <c r="B80" s="511"/>
      <c r="C80" s="484"/>
      <c r="D80" s="512" t="s">
        <v>219</v>
      </c>
      <c r="E80" s="153">
        <f t="shared" ref="E80:AG80" si="12">SUM(E48-E78)</f>
        <v>554874</v>
      </c>
      <c r="F80" s="153">
        <f t="shared" si="12"/>
        <v>109289.9</v>
      </c>
      <c r="G80" s="153">
        <f t="shared" si="12"/>
        <v>323500</v>
      </c>
      <c r="H80" s="153">
        <f t="shared" si="12"/>
        <v>0</v>
      </c>
      <c r="I80" s="153">
        <f t="shared" si="12"/>
        <v>0</v>
      </c>
      <c r="J80" s="153">
        <f t="shared" si="12"/>
        <v>-2600</v>
      </c>
      <c r="K80" s="153">
        <f t="shared" si="12"/>
        <v>0</v>
      </c>
      <c r="L80" s="153">
        <f t="shared" si="12"/>
        <v>213280</v>
      </c>
      <c r="M80" s="153">
        <f t="shared" si="12"/>
        <v>-330000</v>
      </c>
      <c r="N80" s="513">
        <f t="shared" si="12"/>
        <v>-18800</v>
      </c>
      <c r="O80" s="153">
        <f t="shared" si="12"/>
        <v>250000</v>
      </c>
      <c r="P80" s="153">
        <f t="shared" si="12"/>
        <v>84790</v>
      </c>
      <c r="Q80" s="153">
        <f t="shared" si="12"/>
        <v>0</v>
      </c>
      <c r="R80" s="153">
        <f t="shared" si="12"/>
        <v>0</v>
      </c>
      <c r="S80" s="153">
        <f t="shared" si="12"/>
        <v>0</v>
      </c>
      <c r="T80" s="153">
        <f t="shared" si="12"/>
        <v>0</v>
      </c>
      <c r="U80" s="153">
        <f t="shared" si="12"/>
        <v>388945</v>
      </c>
      <c r="V80" s="153">
        <f t="shared" si="12"/>
        <v>-23100</v>
      </c>
      <c r="W80" s="153">
        <f t="shared" si="12"/>
        <v>1193659</v>
      </c>
      <c r="X80" s="153">
        <f t="shared" si="12"/>
        <v>-115200</v>
      </c>
      <c r="Y80" s="153">
        <f t="shared" si="12"/>
        <v>189600</v>
      </c>
      <c r="Z80" s="153">
        <f t="shared" si="12"/>
        <v>0</v>
      </c>
      <c r="AA80" s="904">
        <f t="shared" si="12"/>
        <v>7123.75</v>
      </c>
      <c r="AB80" s="513">
        <f t="shared" si="12"/>
        <v>-175200</v>
      </c>
      <c r="AC80" s="153">
        <f t="shared" si="12"/>
        <v>-76200</v>
      </c>
      <c r="AD80" s="153">
        <f t="shared" si="12"/>
        <v>0</v>
      </c>
      <c r="AE80" s="153">
        <f t="shared" si="12"/>
        <v>8500000</v>
      </c>
      <c r="AF80" s="153">
        <f t="shared" si="12"/>
        <v>716400</v>
      </c>
      <c r="AG80" s="153">
        <f t="shared" si="12"/>
        <v>1113800</v>
      </c>
      <c r="AH80" s="787">
        <f t="shared" si="7"/>
        <v>12904161.65</v>
      </c>
      <c r="AI80" s="937"/>
      <c r="AJ80" s="490"/>
      <c r="AK80" s="509"/>
      <c r="AL80" s="765"/>
      <c r="AM80" s="769"/>
      <c r="AN80" s="396"/>
      <c r="AO80" s="397"/>
      <c r="AP80" s="37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</row>
    <row r="81" spans="1:53" ht="18.75" customHeight="1" x14ac:dyDescent="0.3">
      <c r="A81" s="1035" t="s">
        <v>220</v>
      </c>
      <c r="B81" s="171"/>
      <c r="C81" s="955"/>
      <c r="D81" s="41"/>
      <c r="E81" s="684"/>
      <c r="F81" s="684"/>
      <c r="G81" s="684"/>
      <c r="H81" s="684"/>
      <c r="I81" s="684"/>
      <c r="J81" s="966"/>
      <c r="K81" s="966"/>
      <c r="L81" s="966"/>
      <c r="M81" s="684"/>
      <c r="N81" s="37"/>
      <c r="O81" s="684"/>
      <c r="P81" s="37"/>
      <c r="Q81" s="684"/>
      <c r="R81" s="684"/>
      <c r="S81" s="684"/>
      <c r="T81" s="684"/>
      <c r="U81" s="37"/>
      <c r="V81" s="684"/>
      <c r="W81" s="37"/>
      <c r="X81" s="684"/>
      <c r="Y81" s="37"/>
      <c r="Z81" s="684"/>
      <c r="AA81" s="897"/>
      <c r="AB81" s="870"/>
      <c r="AC81" s="684"/>
      <c r="AD81" s="684"/>
      <c r="AE81" s="684"/>
      <c r="AF81" s="684"/>
      <c r="AG81" s="684"/>
      <c r="AH81" s="1036"/>
      <c r="AI81" s="937"/>
      <c r="AJ81" s="42"/>
      <c r="AK81" s="494"/>
      <c r="AL81" s="764"/>
      <c r="AM81" s="769">
        <f t="shared" ref="AM81" si="13">AH81-AK81-AL81</f>
        <v>0</v>
      </c>
      <c r="AN81" s="481"/>
      <c r="AO81" s="395"/>
      <c r="AP81" s="37"/>
      <c r="AQ81" s="37"/>
      <c r="AR81" s="37"/>
      <c r="AS81" s="476"/>
      <c r="AT81" s="476"/>
      <c r="AU81" s="476"/>
      <c r="AV81" s="476"/>
      <c r="AW81" s="476"/>
      <c r="AX81" s="476"/>
      <c r="AY81" s="476"/>
      <c r="AZ81" s="476"/>
      <c r="BA81" s="476"/>
    </row>
    <row r="82" spans="1:53" ht="37.5" x14ac:dyDescent="0.3">
      <c r="A82" s="1053">
        <v>45629</v>
      </c>
      <c r="B82" s="42" t="s">
        <v>1655</v>
      </c>
      <c r="C82" s="955" t="s">
        <v>1654</v>
      </c>
      <c r="D82" s="34" t="s">
        <v>1656</v>
      </c>
      <c r="E82" s="684"/>
      <c r="F82" s="684"/>
      <c r="G82" s="684"/>
      <c r="H82" s="684"/>
      <c r="I82" s="684"/>
      <c r="J82" s="684"/>
      <c r="K82" s="684"/>
      <c r="L82" s="684">
        <v>3000</v>
      </c>
      <c r="M82" s="684"/>
      <c r="N82" s="37"/>
      <c r="O82" s="684"/>
      <c r="P82" s="37"/>
      <c r="Q82" s="684"/>
      <c r="R82" s="684"/>
      <c r="S82" s="684"/>
      <c r="T82" s="684"/>
      <c r="U82" s="37"/>
      <c r="V82" s="684"/>
      <c r="W82" s="37"/>
      <c r="X82" s="684"/>
      <c r="Y82" s="37"/>
      <c r="Z82" s="684"/>
      <c r="AA82" s="897"/>
      <c r="AB82" s="870"/>
      <c r="AC82" s="684"/>
      <c r="AD82" s="684"/>
      <c r="AE82" s="684"/>
      <c r="AF82" s="684"/>
      <c r="AG82" s="684"/>
      <c r="AH82" s="807">
        <f t="shared" ref="AH82:AH112" si="14">SUM(E82:AG82)</f>
        <v>3000</v>
      </c>
      <c r="AI82" s="937">
        <v>45671</v>
      </c>
      <c r="AJ82" s="42" t="s">
        <v>1864</v>
      </c>
      <c r="AK82" s="494">
        <v>3000</v>
      </c>
      <c r="AL82" s="764"/>
      <c r="AM82" s="769">
        <f>AH82-AK82-AL82</f>
        <v>0</v>
      </c>
      <c r="AN82" s="881"/>
      <c r="AO82" s="882"/>
      <c r="AP82" s="870"/>
      <c r="AQ82" s="870"/>
      <c r="AR82" s="870"/>
      <c r="AS82" s="870"/>
      <c r="AT82" s="870"/>
      <c r="AU82" s="870"/>
      <c r="AV82" s="870"/>
      <c r="AW82" s="870"/>
      <c r="AX82" s="870"/>
      <c r="AY82" s="870"/>
      <c r="AZ82" s="870"/>
      <c r="BA82" s="870">
        <f>SUM(AO82:AZ82)</f>
        <v>0</v>
      </c>
    </row>
    <row r="83" spans="1:53" ht="37.5" x14ac:dyDescent="0.3">
      <c r="A83" s="1053">
        <v>45630</v>
      </c>
      <c r="B83" s="42" t="s">
        <v>1662</v>
      </c>
      <c r="C83" s="955" t="s">
        <v>1659</v>
      </c>
      <c r="D83" s="34" t="s">
        <v>1660</v>
      </c>
      <c r="E83" s="684"/>
      <c r="F83" s="684"/>
      <c r="G83" s="684"/>
      <c r="H83" s="684"/>
      <c r="I83" s="684"/>
      <c r="J83" s="684"/>
      <c r="K83" s="684"/>
      <c r="L83" s="684">
        <v>175</v>
      </c>
      <c r="M83" s="684"/>
      <c r="N83" s="37"/>
      <c r="O83" s="684"/>
      <c r="P83" s="37"/>
      <c r="Q83" s="684"/>
      <c r="R83" s="684"/>
      <c r="S83" s="684"/>
      <c r="T83" s="684"/>
      <c r="U83" s="37"/>
      <c r="V83" s="684"/>
      <c r="W83" s="37"/>
      <c r="X83" s="684"/>
      <c r="Y83" s="37"/>
      <c r="Z83" s="684"/>
      <c r="AA83" s="897"/>
      <c r="AB83" s="870"/>
      <c r="AC83" s="684"/>
      <c r="AD83" s="684"/>
      <c r="AE83" s="684"/>
      <c r="AF83" s="684"/>
      <c r="AG83" s="684"/>
      <c r="AH83" s="807">
        <f t="shared" si="14"/>
        <v>175</v>
      </c>
      <c r="AI83" s="937">
        <v>45663</v>
      </c>
      <c r="AJ83" s="42" t="s">
        <v>1867</v>
      </c>
      <c r="AK83" s="494">
        <v>175</v>
      </c>
      <c r="AL83" s="764"/>
      <c r="AM83" s="769">
        <f t="shared" ref="AM83:AM109" si="15">AH83-AK83-AL83</f>
        <v>0</v>
      </c>
      <c r="AN83" s="881"/>
      <c r="AO83" s="882"/>
      <c r="AP83" s="870"/>
      <c r="AQ83" s="870"/>
      <c r="AR83" s="870"/>
      <c r="AS83" s="870"/>
      <c r="AT83" s="870"/>
      <c r="AU83" s="870"/>
      <c r="AV83" s="870"/>
      <c r="AW83" s="870"/>
      <c r="AX83" s="870"/>
      <c r="AY83" s="870"/>
      <c r="AZ83" s="870"/>
      <c r="BA83" s="870">
        <f t="shared" ref="BA83:BA109" si="16">SUM(AO83:AZ83)</f>
        <v>0</v>
      </c>
    </row>
    <row r="84" spans="1:53" ht="18.75" x14ac:dyDescent="0.3">
      <c r="A84" s="1053">
        <v>45630</v>
      </c>
      <c r="B84" s="42" t="s">
        <v>1663</v>
      </c>
      <c r="C84" s="1071" t="s">
        <v>1315</v>
      </c>
      <c r="D84" s="124" t="s">
        <v>1661</v>
      </c>
      <c r="E84" s="684">
        <v>8800</v>
      </c>
      <c r="F84" s="684"/>
      <c r="G84" s="684"/>
      <c r="H84" s="684"/>
      <c r="I84" s="684"/>
      <c r="J84" s="684"/>
      <c r="K84" s="684"/>
      <c r="L84" s="684"/>
      <c r="M84" s="684"/>
      <c r="N84" s="37"/>
      <c r="O84" s="684"/>
      <c r="P84" s="37"/>
      <c r="Q84" s="684"/>
      <c r="R84" s="684"/>
      <c r="S84" s="684"/>
      <c r="T84" s="684"/>
      <c r="U84" s="37"/>
      <c r="V84" s="684"/>
      <c r="W84" s="37"/>
      <c r="X84" s="684"/>
      <c r="Y84" s="37"/>
      <c r="Z84" s="684"/>
      <c r="AA84" s="897"/>
      <c r="AB84" s="870"/>
      <c r="AC84" s="684"/>
      <c r="AD84" s="684"/>
      <c r="AE84" s="684"/>
      <c r="AF84" s="684"/>
      <c r="AG84" s="684"/>
      <c r="AH84" s="807">
        <f t="shared" si="14"/>
        <v>8800</v>
      </c>
      <c r="AI84" s="937">
        <v>45666</v>
      </c>
      <c r="AJ84" s="65" t="s">
        <v>1868</v>
      </c>
      <c r="AK84" s="494">
        <v>7500</v>
      </c>
      <c r="AL84" s="764">
        <v>1300</v>
      </c>
      <c r="AM84" s="769">
        <f t="shared" si="15"/>
        <v>0</v>
      </c>
      <c r="AN84" s="881"/>
      <c r="AO84" s="882"/>
      <c r="AP84" s="870"/>
      <c r="AQ84" s="870"/>
      <c r="AR84" s="870"/>
      <c r="AS84" s="870"/>
      <c r="AT84" s="870"/>
      <c r="AU84" s="870"/>
      <c r="AV84" s="870"/>
      <c r="AW84" s="870"/>
      <c r="AX84" s="870"/>
      <c r="AY84" s="870"/>
      <c r="AZ84" s="870"/>
      <c r="BA84" s="870">
        <f t="shared" si="16"/>
        <v>0</v>
      </c>
    </row>
    <row r="85" spans="1:53" ht="18.75" x14ac:dyDescent="0.3">
      <c r="A85" s="1053">
        <v>45630</v>
      </c>
      <c r="B85" s="42" t="s">
        <v>1666</v>
      </c>
      <c r="C85" s="1171" t="s">
        <v>1315</v>
      </c>
      <c r="D85" s="124" t="s">
        <v>1664</v>
      </c>
      <c r="E85" s="684">
        <v>4200</v>
      </c>
      <c r="F85" s="684"/>
      <c r="G85" s="684"/>
      <c r="H85" s="684"/>
      <c r="I85" s="684"/>
      <c r="J85" s="684"/>
      <c r="K85" s="684"/>
      <c r="L85" s="684"/>
      <c r="M85" s="684"/>
      <c r="N85" s="37"/>
      <c r="O85" s="684"/>
      <c r="P85" s="37"/>
      <c r="Q85" s="684"/>
      <c r="R85" s="684"/>
      <c r="S85" s="684"/>
      <c r="T85" s="684"/>
      <c r="U85" s="37"/>
      <c r="V85" s="684"/>
      <c r="W85" s="37"/>
      <c r="X85" s="684"/>
      <c r="Y85" s="37"/>
      <c r="Z85" s="684"/>
      <c r="AA85" s="897"/>
      <c r="AB85" s="870"/>
      <c r="AC85" s="684"/>
      <c r="AD85" s="684"/>
      <c r="AE85" s="684"/>
      <c r="AF85" s="684"/>
      <c r="AG85" s="684"/>
      <c r="AH85" s="807">
        <f t="shared" si="14"/>
        <v>4200</v>
      </c>
      <c r="AI85" s="940"/>
      <c r="AJ85" s="874"/>
      <c r="AK85" s="875"/>
      <c r="AL85" s="764">
        <v>4200</v>
      </c>
      <c r="AM85" s="769">
        <f t="shared" si="15"/>
        <v>0</v>
      </c>
      <c r="AN85" s="881"/>
      <c r="AO85" s="882"/>
      <c r="AP85" s="870"/>
      <c r="AQ85" s="870"/>
      <c r="AR85" s="870"/>
      <c r="AS85" s="870"/>
      <c r="AT85" s="870"/>
      <c r="AU85" s="870"/>
      <c r="AV85" s="870"/>
      <c r="AW85" s="870"/>
      <c r="AX85" s="870"/>
      <c r="AY85" s="870"/>
      <c r="AZ85" s="870"/>
      <c r="BA85" s="870">
        <f t="shared" si="16"/>
        <v>0</v>
      </c>
    </row>
    <row r="86" spans="1:53" ht="18.75" x14ac:dyDescent="0.3">
      <c r="A86" s="1053">
        <v>45630</v>
      </c>
      <c r="B86" s="42" t="s">
        <v>1667</v>
      </c>
      <c r="C86" s="955" t="s">
        <v>1315</v>
      </c>
      <c r="D86" s="34" t="s">
        <v>1665</v>
      </c>
      <c r="E86" s="684">
        <v>4500</v>
      </c>
      <c r="F86" s="684"/>
      <c r="G86" s="684"/>
      <c r="H86" s="684"/>
      <c r="I86" s="684"/>
      <c r="J86" s="684"/>
      <c r="K86" s="684"/>
      <c r="L86" s="684"/>
      <c r="M86" s="684"/>
      <c r="N86" s="37"/>
      <c r="O86" s="684"/>
      <c r="P86" s="37"/>
      <c r="Q86" s="684"/>
      <c r="R86" s="684"/>
      <c r="S86" s="684"/>
      <c r="T86" s="684"/>
      <c r="U86" s="37"/>
      <c r="V86" s="684"/>
      <c r="W86" s="37"/>
      <c r="X86" s="684"/>
      <c r="Y86" s="37"/>
      <c r="Z86" s="684"/>
      <c r="AA86" s="897"/>
      <c r="AB86" s="870"/>
      <c r="AC86" s="684"/>
      <c r="AD86" s="684"/>
      <c r="AE86" s="684"/>
      <c r="AF86" s="684"/>
      <c r="AG86" s="684"/>
      <c r="AH86" s="807">
        <f t="shared" si="14"/>
        <v>4500</v>
      </c>
      <c r="AI86" s="940">
        <v>46011</v>
      </c>
      <c r="AJ86" s="874" t="s">
        <v>1869</v>
      </c>
      <c r="AK86" s="494">
        <v>4500</v>
      </c>
      <c r="AL86" s="764"/>
      <c r="AM86" s="769">
        <f t="shared" si="15"/>
        <v>0</v>
      </c>
      <c r="AN86" s="881"/>
      <c r="AO86" s="882"/>
      <c r="AP86" s="870"/>
      <c r="AQ86" s="886"/>
      <c r="AR86" s="870"/>
      <c r="AS86" s="870"/>
      <c r="AT86" s="870"/>
      <c r="AU86" s="870"/>
      <c r="AV86" s="870"/>
      <c r="AW86" s="870"/>
      <c r="AX86" s="870"/>
      <c r="AY86" s="870"/>
      <c r="AZ86" s="870"/>
      <c r="BA86" s="870">
        <f t="shared" si="16"/>
        <v>0</v>
      </c>
    </row>
    <row r="87" spans="1:53" ht="37.5" x14ac:dyDescent="0.3">
      <c r="A87" s="1053">
        <v>45635</v>
      </c>
      <c r="B87" s="42" t="s">
        <v>1679</v>
      </c>
      <c r="C87" s="955" t="s">
        <v>1678</v>
      </c>
      <c r="D87" s="34" t="s">
        <v>1675</v>
      </c>
      <c r="E87" s="684"/>
      <c r="F87" s="684"/>
      <c r="G87" s="684"/>
      <c r="H87" s="684"/>
      <c r="I87" s="684"/>
      <c r="J87" s="684"/>
      <c r="K87" s="684"/>
      <c r="L87" s="684"/>
      <c r="M87" s="684"/>
      <c r="N87" s="37"/>
      <c r="O87" s="684"/>
      <c r="P87" s="37">
        <v>9000</v>
      </c>
      <c r="Q87" s="684"/>
      <c r="R87" s="684"/>
      <c r="S87" s="684"/>
      <c r="T87" s="684"/>
      <c r="U87" s="37"/>
      <c r="V87" s="684"/>
      <c r="W87" s="37"/>
      <c r="X87" s="684"/>
      <c r="Y87" s="37"/>
      <c r="Z87" s="684"/>
      <c r="AA87" s="897"/>
      <c r="AB87" s="870"/>
      <c r="AC87" s="684"/>
      <c r="AD87" s="684"/>
      <c r="AE87" s="684"/>
      <c r="AF87" s="684"/>
      <c r="AG87" s="684"/>
      <c r="AH87" s="807">
        <f t="shared" si="14"/>
        <v>9000</v>
      </c>
      <c r="AI87" s="940"/>
      <c r="AJ87" s="874"/>
      <c r="AK87" s="494"/>
      <c r="AL87" s="764"/>
      <c r="AM87" s="769">
        <f t="shared" si="15"/>
        <v>9000</v>
      </c>
      <c r="AN87" s="881"/>
      <c r="AO87" s="882"/>
      <c r="AP87" s="870"/>
      <c r="AQ87" s="870"/>
      <c r="AR87" s="870"/>
      <c r="AS87" s="870"/>
      <c r="AT87" s="870"/>
      <c r="AU87" s="870"/>
      <c r="AV87" s="870"/>
      <c r="AW87" s="870"/>
      <c r="AX87" s="870"/>
      <c r="AY87" s="870"/>
      <c r="AZ87" s="870"/>
      <c r="BA87" s="870">
        <f t="shared" si="16"/>
        <v>0</v>
      </c>
    </row>
    <row r="88" spans="1:53" ht="18.75" x14ac:dyDescent="0.3">
      <c r="A88" s="1053">
        <v>45637</v>
      </c>
      <c r="B88" s="42" t="s">
        <v>1680</v>
      </c>
      <c r="C88" s="955" t="s">
        <v>1315</v>
      </c>
      <c r="D88" s="34" t="s">
        <v>1676</v>
      </c>
      <c r="E88" s="684">
        <v>4708</v>
      </c>
      <c r="F88" s="684"/>
      <c r="G88" s="684"/>
      <c r="H88" s="684"/>
      <c r="I88" s="684"/>
      <c r="J88" s="684"/>
      <c r="K88" s="684"/>
      <c r="L88" s="684"/>
      <c r="M88" s="684"/>
      <c r="N88" s="37"/>
      <c r="O88" s="684"/>
      <c r="P88" s="37"/>
      <c r="Q88" s="684"/>
      <c r="R88" s="684"/>
      <c r="S88" s="684"/>
      <c r="T88" s="684"/>
      <c r="U88" s="37"/>
      <c r="V88" s="684"/>
      <c r="W88" s="37"/>
      <c r="X88" s="684"/>
      <c r="Y88" s="37"/>
      <c r="Z88" s="684"/>
      <c r="AA88" s="897"/>
      <c r="AB88" s="870"/>
      <c r="AC88" s="684"/>
      <c r="AD88" s="684"/>
      <c r="AE88" s="684"/>
      <c r="AF88" s="684"/>
      <c r="AG88" s="684"/>
      <c r="AH88" s="807">
        <f t="shared" si="14"/>
        <v>4708</v>
      </c>
      <c r="AI88" s="937">
        <v>45666</v>
      </c>
      <c r="AJ88" s="876" t="s">
        <v>1872</v>
      </c>
      <c r="AK88" s="494">
        <v>4708</v>
      </c>
      <c r="AL88" s="764"/>
      <c r="AM88" s="769">
        <f t="shared" si="15"/>
        <v>0</v>
      </c>
      <c r="AN88" s="881"/>
      <c r="AO88" s="882"/>
      <c r="AP88" s="870"/>
      <c r="AQ88" s="870"/>
      <c r="AR88" s="870"/>
      <c r="AS88" s="870"/>
      <c r="AT88" s="870"/>
      <c r="AU88" s="870"/>
      <c r="AV88" s="870"/>
      <c r="AW88" s="870"/>
      <c r="AX88" s="870"/>
      <c r="AY88" s="870"/>
      <c r="AZ88" s="870"/>
      <c r="BA88" s="870">
        <f t="shared" si="16"/>
        <v>0</v>
      </c>
    </row>
    <row r="89" spans="1:53" ht="18.75" x14ac:dyDescent="0.3">
      <c r="A89" s="1053">
        <v>45637</v>
      </c>
      <c r="B89" s="42" t="s">
        <v>1681</v>
      </c>
      <c r="C89" s="955" t="s">
        <v>1321</v>
      </c>
      <c r="D89" s="34" t="s">
        <v>1677</v>
      </c>
      <c r="E89" s="684"/>
      <c r="F89" s="684"/>
      <c r="G89" s="684"/>
      <c r="H89" s="684"/>
      <c r="I89" s="684"/>
      <c r="J89" s="684"/>
      <c r="K89" s="684"/>
      <c r="L89" s="684"/>
      <c r="M89" s="684"/>
      <c r="N89" s="37"/>
      <c r="O89" s="684"/>
      <c r="P89" s="37"/>
      <c r="Q89" s="684"/>
      <c r="R89" s="684"/>
      <c r="S89" s="684"/>
      <c r="T89" s="684"/>
      <c r="U89" s="37"/>
      <c r="V89" s="684"/>
      <c r="W89" s="37">
        <v>39162</v>
      </c>
      <c r="X89" s="684"/>
      <c r="Y89" s="37"/>
      <c r="Z89" s="684"/>
      <c r="AA89" s="897"/>
      <c r="AB89" s="870"/>
      <c r="AC89" s="684"/>
      <c r="AD89" s="684"/>
      <c r="AE89" s="684"/>
      <c r="AF89" s="684"/>
      <c r="AG89" s="684"/>
      <c r="AH89" s="1036">
        <f t="shared" si="14"/>
        <v>39162</v>
      </c>
      <c r="AI89" s="940">
        <v>45651</v>
      </c>
      <c r="AJ89" s="874" t="s">
        <v>1682</v>
      </c>
      <c r="AK89" s="494">
        <v>39162</v>
      </c>
      <c r="AL89" s="764"/>
      <c r="AM89" s="769">
        <f t="shared" si="15"/>
        <v>0</v>
      </c>
      <c r="AN89" s="881"/>
      <c r="AO89" s="882"/>
      <c r="AP89" s="870"/>
      <c r="AQ89" s="870"/>
      <c r="AR89" s="870"/>
      <c r="AS89" s="870"/>
      <c r="AT89" s="870"/>
      <c r="AU89" s="870"/>
      <c r="AV89" s="870"/>
      <c r="AW89" s="870"/>
      <c r="AX89" s="870"/>
      <c r="AY89" s="870"/>
      <c r="AZ89" s="870"/>
      <c r="BA89" s="870">
        <f t="shared" si="16"/>
        <v>0</v>
      </c>
    </row>
    <row r="90" spans="1:53" ht="37.5" x14ac:dyDescent="0.3">
      <c r="A90" s="1053">
        <v>45637</v>
      </c>
      <c r="B90" s="42" t="s">
        <v>1684</v>
      </c>
      <c r="C90" s="955" t="s">
        <v>1499</v>
      </c>
      <c r="D90" s="34" t="s">
        <v>1685</v>
      </c>
      <c r="E90" s="684"/>
      <c r="F90" s="684"/>
      <c r="G90" s="684"/>
      <c r="H90" s="684"/>
      <c r="I90" s="684"/>
      <c r="J90" s="684"/>
      <c r="K90" s="684"/>
      <c r="L90" s="684">
        <v>60</v>
      </c>
      <c r="M90" s="684"/>
      <c r="N90" s="37"/>
      <c r="O90" s="684"/>
      <c r="P90" s="37"/>
      <c r="Q90" s="684"/>
      <c r="R90" s="684"/>
      <c r="S90" s="684"/>
      <c r="T90" s="684"/>
      <c r="U90" s="37"/>
      <c r="V90" s="684"/>
      <c r="W90" s="37"/>
      <c r="X90" s="684"/>
      <c r="Y90" s="37"/>
      <c r="Z90" s="684"/>
      <c r="AA90" s="897"/>
      <c r="AB90" s="870"/>
      <c r="AC90" s="684"/>
      <c r="AD90" s="684"/>
      <c r="AE90" s="684"/>
      <c r="AF90" s="684"/>
      <c r="AG90" s="684"/>
      <c r="AH90" s="807">
        <f t="shared" si="14"/>
        <v>60</v>
      </c>
      <c r="AI90" s="940">
        <v>46011</v>
      </c>
      <c r="AJ90" s="874" t="s">
        <v>1874</v>
      </c>
      <c r="AK90" s="494">
        <v>60</v>
      </c>
      <c r="AL90" s="764"/>
      <c r="AM90" s="769">
        <f t="shared" si="15"/>
        <v>0</v>
      </c>
      <c r="AN90" s="881"/>
      <c r="AO90" s="886"/>
      <c r="AP90" s="886"/>
      <c r="AQ90" s="870"/>
      <c r="AR90" s="870"/>
      <c r="AS90" s="870"/>
      <c r="AT90" s="870"/>
      <c r="AU90" s="870"/>
      <c r="AV90" s="870"/>
      <c r="AW90" s="870"/>
      <c r="AX90" s="870"/>
      <c r="AY90" s="870"/>
      <c r="AZ90" s="870"/>
      <c r="BA90" s="870">
        <f t="shared" si="16"/>
        <v>0</v>
      </c>
    </row>
    <row r="91" spans="1:53" ht="37.5" x14ac:dyDescent="0.3">
      <c r="A91" s="1053">
        <v>45637</v>
      </c>
      <c r="B91" s="42" t="s">
        <v>1688</v>
      </c>
      <c r="C91" s="955" t="s">
        <v>1686</v>
      </c>
      <c r="D91" s="34" t="s">
        <v>1687</v>
      </c>
      <c r="E91" s="684"/>
      <c r="F91" s="684"/>
      <c r="G91" s="684"/>
      <c r="H91" s="684"/>
      <c r="I91" s="684"/>
      <c r="J91" s="684"/>
      <c r="K91" s="684"/>
      <c r="L91" s="684">
        <v>155</v>
      </c>
      <c r="M91" s="684"/>
      <c r="N91" s="37"/>
      <c r="O91" s="684"/>
      <c r="P91" s="37"/>
      <c r="Q91" s="684"/>
      <c r="R91" s="684"/>
      <c r="S91" s="684"/>
      <c r="T91" s="684"/>
      <c r="U91" s="37"/>
      <c r="V91" s="684"/>
      <c r="W91" s="37"/>
      <c r="X91" s="684"/>
      <c r="Y91" s="37"/>
      <c r="Z91" s="684"/>
      <c r="AA91" s="897"/>
      <c r="AB91" s="870"/>
      <c r="AC91" s="684"/>
      <c r="AD91" s="684"/>
      <c r="AE91" s="684"/>
      <c r="AF91" s="684"/>
      <c r="AG91" s="684"/>
      <c r="AH91" s="807">
        <f t="shared" si="14"/>
        <v>155</v>
      </c>
      <c r="AI91" s="937">
        <v>45637</v>
      </c>
      <c r="AJ91" s="42" t="s">
        <v>1644</v>
      </c>
      <c r="AK91" s="494">
        <v>155</v>
      </c>
      <c r="AL91" s="764"/>
      <c r="AM91" s="769">
        <f t="shared" si="15"/>
        <v>0</v>
      </c>
      <c r="AN91" s="881"/>
      <c r="AO91" s="882"/>
      <c r="AP91" s="883"/>
      <c r="AQ91" s="883"/>
      <c r="AR91" s="883"/>
      <c r="AS91" s="883"/>
      <c r="AT91" s="883"/>
      <c r="AU91" s="883"/>
      <c r="AV91" s="883"/>
      <c r="AW91" s="883"/>
      <c r="AX91" s="883"/>
      <c r="AY91" s="883"/>
      <c r="AZ91" s="883"/>
      <c r="BA91" s="870">
        <f t="shared" si="16"/>
        <v>0</v>
      </c>
    </row>
    <row r="92" spans="1:53" ht="18.75" x14ac:dyDescent="0.3">
      <c r="A92" s="1053">
        <v>45638</v>
      </c>
      <c r="B92" s="42" t="s">
        <v>1693</v>
      </c>
      <c r="C92" s="955" t="s">
        <v>1562</v>
      </c>
      <c r="D92" s="41" t="s">
        <v>1692</v>
      </c>
      <c r="E92" s="684"/>
      <c r="F92" s="684"/>
      <c r="G92" s="684"/>
      <c r="H92" s="684"/>
      <c r="I92" s="684"/>
      <c r="J92" s="684"/>
      <c r="K92" s="684"/>
      <c r="L92" s="684"/>
      <c r="M92" s="684"/>
      <c r="N92" s="37">
        <v>4800</v>
      </c>
      <c r="O92" s="684"/>
      <c r="P92" s="37"/>
      <c r="Q92" s="684"/>
      <c r="R92" s="684"/>
      <c r="S92" s="684"/>
      <c r="T92" s="684"/>
      <c r="U92" s="37"/>
      <c r="V92" s="684"/>
      <c r="W92" s="37"/>
      <c r="X92" s="684"/>
      <c r="Y92" s="37"/>
      <c r="Z92" s="684"/>
      <c r="AA92" s="897"/>
      <c r="AB92" s="870"/>
      <c r="AC92" s="684"/>
      <c r="AD92" s="684"/>
      <c r="AE92" s="684"/>
      <c r="AF92" s="684"/>
      <c r="AG92" s="684"/>
      <c r="AH92" s="807">
        <f t="shared" si="14"/>
        <v>4800</v>
      </c>
      <c r="AI92" s="937"/>
      <c r="AJ92" s="42"/>
      <c r="AK92" s="494"/>
      <c r="AL92" s="764"/>
      <c r="AM92" s="769">
        <f t="shared" si="15"/>
        <v>4800</v>
      </c>
      <c r="AN92" s="881"/>
      <c r="AO92" s="882"/>
      <c r="AP92" s="883"/>
      <c r="AQ92" s="883"/>
      <c r="AR92" s="883"/>
      <c r="AS92" s="883"/>
      <c r="AT92" s="883"/>
      <c r="AU92" s="883"/>
      <c r="AV92" s="883"/>
      <c r="AW92" s="883"/>
      <c r="AX92" s="883"/>
      <c r="AY92" s="883"/>
      <c r="AZ92" s="883"/>
      <c r="BA92" s="870">
        <f t="shared" si="16"/>
        <v>0</v>
      </c>
    </row>
    <row r="93" spans="1:53" ht="21.75" customHeight="1" x14ac:dyDescent="0.3">
      <c r="A93" s="1053">
        <v>45639</v>
      </c>
      <c r="B93" s="42" t="s">
        <v>1700</v>
      </c>
      <c r="C93" s="955" t="s">
        <v>1303</v>
      </c>
      <c r="D93" s="34" t="s">
        <v>1699</v>
      </c>
      <c r="E93" s="684"/>
      <c r="F93" s="684">
        <v>63439.23</v>
      </c>
      <c r="G93" s="684"/>
      <c r="H93" s="684"/>
      <c r="I93" s="684"/>
      <c r="J93" s="684"/>
      <c r="K93" s="684"/>
      <c r="L93" s="684"/>
      <c r="M93" s="684"/>
      <c r="N93" s="37"/>
      <c r="O93" s="684"/>
      <c r="P93" s="37"/>
      <c r="Q93" s="684"/>
      <c r="R93" s="684"/>
      <c r="S93" s="684"/>
      <c r="T93" s="684"/>
      <c r="U93" s="37"/>
      <c r="V93" s="684"/>
      <c r="W93" s="37"/>
      <c r="X93" s="684"/>
      <c r="Y93" s="37"/>
      <c r="Z93" s="684"/>
      <c r="AA93" s="897"/>
      <c r="AB93" s="870"/>
      <c r="AC93" s="684"/>
      <c r="AD93" s="684"/>
      <c r="AE93" s="684"/>
      <c r="AF93" s="684"/>
      <c r="AG93" s="684"/>
      <c r="AH93" s="807">
        <f t="shared" si="14"/>
        <v>63439.23</v>
      </c>
      <c r="AI93" s="937">
        <v>45678</v>
      </c>
      <c r="AJ93" s="42" t="s">
        <v>1877</v>
      </c>
      <c r="AK93" s="494">
        <v>63439.23</v>
      </c>
      <c r="AL93" s="764"/>
      <c r="AM93" s="769">
        <f t="shared" si="15"/>
        <v>0</v>
      </c>
      <c r="AN93" s="881"/>
      <c r="AO93" s="882"/>
      <c r="AP93" s="883"/>
      <c r="AQ93" s="883"/>
      <c r="AR93" s="883"/>
      <c r="AS93" s="883"/>
      <c r="AT93" s="883"/>
      <c r="AU93" s="883"/>
      <c r="AV93" s="883"/>
      <c r="AW93" s="883"/>
      <c r="AX93" s="883"/>
      <c r="AY93" s="883"/>
      <c r="AZ93" s="883"/>
      <c r="BA93" s="870">
        <f t="shared" si="16"/>
        <v>0</v>
      </c>
    </row>
    <row r="94" spans="1:53" ht="18.75" x14ac:dyDescent="0.3">
      <c r="A94" s="1053">
        <v>45642</v>
      </c>
      <c r="B94" s="42" t="s">
        <v>1706</v>
      </c>
      <c r="C94" s="955" t="s">
        <v>1506</v>
      </c>
      <c r="D94" s="34" t="s">
        <v>1704</v>
      </c>
      <c r="E94" s="684"/>
      <c r="F94" s="684"/>
      <c r="G94" s="684"/>
      <c r="H94" s="684"/>
      <c r="I94" s="684"/>
      <c r="J94" s="684"/>
      <c r="K94" s="684"/>
      <c r="L94" s="684">
        <v>6300</v>
      </c>
      <c r="M94" s="684"/>
      <c r="N94" s="37"/>
      <c r="O94" s="684"/>
      <c r="P94" s="37"/>
      <c r="Q94" s="684"/>
      <c r="R94" s="684"/>
      <c r="S94" s="684"/>
      <c r="T94" s="684"/>
      <c r="U94" s="37"/>
      <c r="V94" s="684"/>
      <c r="W94" s="37"/>
      <c r="X94" s="684"/>
      <c r="Y94" s="37"/>
      <c r="Z94" s="684"/>
      <c r="AA94" s="897"/>
      <c r="AB94" s="870"/>
      <c r="AC94" s="684"/>
      <c r="AD94" s="684"/>
      <c r="AE94" s="684"/>
      <c r="AF94" s="684"/>
      <c r="AG94" s="684"/>
      <c r="AH94" s="807">
        <f t="shared" si="14"/>
        <v>6300</v>
      </c>
      <c r="AI94" s="937">
        <v>45659</v>
      </c>
      <c r="AJ94" s="42" t="s">
        <v>1878</v>
      </c>
      <c r="AK94" s="494">
        <v>6300</v>
      </c>
      <c r="AL94" s="764"/>
      <c r="AM94" s="769">
        <f t="shared" si="15"/>
        <v>0</v>
      </c>
      <c r="AN94" s="881"/>
      <c r="AO94" s="882"/>
      <c r="AP94" s="883"/>
      <c r="AQ94" s="883"/>
      <c r="AR94" s="883"/>
      <c r="AS94" s="883"/>
      <c r="AT94" s="883"/>
      <c r="AU94" s="883"/>
      <c r="AV94" s="883"/>
      <c r="AW94" s="883"/>
      <c r="AX94" s="883"/>
      <c r="AY94" s="883"/>
      <c r="AZ94" s="883"/>
      <c r="BA94" s="870">
        <f t="shared" si="16"/>
        <v>0</v>
      </c>
    </row>
    <row r="95" spans="1:53" ht="18.75" x14ac:dyDescent="0.3">
      <c r="A95" s="1053">
        <v>45642</v>
      </c>
      <c r="B95" s="42" t="s">
        <v>1707</v>
      </c>
      <c r="C95" s="955" t="s">
        <v>1321</v>
      </c>
      <c r="D95" s="34" t="s">
        <v>1705</v>
      </c>
      <c r="E95" s="684"/>
      <c r="F95" s="684"/>
      <c r="G95" s="684"/>
      <c r="H95" s="684"/>
      <c r="I95" s="684"/>
      <c r="J95" s="684"/>
      <c r="K95" s="684"/>
      <c r="L95" s="684"/>
      <c r="M95" s="684"/>
      <c r="N95" s="37"/>
      <c r="O95" s="684">
        <v>45000</v>
      </c>
      <c r="P95" s="37"/>
      <c r="Q95" s="684"/>
      <c r="R95" s="684"/>
      <c r="S95" s="684"/>
      <c r="T95" s="684"/>
      <c r="U95" s="37"/>
      <c r="V95" s="684"/>
      <c r="W95" s="37"/>
      <c r="X95" s="684"/>
      <c r="Y95" s="37"/>
      <c r="Z95" s="684"/>
      <c r="AA95" s="897"/>
      <c r="AB95" s="870"/>
      <c r="AC95" s="684"/>
      <c r="AD95" s="684"/>
      <c r="AE95" s="684"/>
      <c r="AF95" s="684"/>
      <c r="AG95" s="684"/>
      <c r="AH95" s="807">
        <f t="shared" si="14"/>
        <v>45000</v>
      </c>
      <c r="AI95" s="937">
        <v>45663</v>
      </c>
      <c r="AJ95" s="42" t="s">
        <v>1879</v>
      </c>
      <c r="AK95" s="494">
        <v>45000</v>
      </c>
      <c r="AL95" s="764"/>
      <c r="AM95" s="769">
        <f t="shared" si="15"/>
        <v>0</v>
      </c>
      <c r="AN95" s="881"/>
      <c r="AO95" s="882"/>
      <c r="AP95" s="883"/>
      <c r="AQ95" s="883"/>
      <c r="AR95" s="883"/>
      <c r="AS95" s="883"/>
      <c r="AT95" s="883"/>
      <c r="AU95" s="883"/>
      <c r="AV95" s="883"/>
      <c r="AW95" s="883"/>
      <c r="AX95" s="883"/>
      <c r="AY95" s="883"/>
      <c r="AZ95" s="883"/>
      <c r="BA95" s="870">
        <f t="shared" si="16"/>
        <v>0</v>
      </c>
    </row>
    <row r="96" spans="1:53" ht="37.5" x14ac:dyDescent="0.3">
      <c r="A96" s="1053">
        <v>45643</v>
      </c>
      <c r="B96" s="42" t="s">
        <v>1718</v>
      </c>
      <c r="C96" s="955" t="s">
        <v>1714</v>
      </c>
      <c r="D96" s="775" t="s">
        <v>1716</v>
      </c>
      <c r="E96" s="684"/>
      <c r="F96" s="684"/>
      <c r="G96" s="684"/>
      <c r="H96" s="684"/>
      <c r="I96" s="1078"/>
      <c r="J96" s="684"/>
      <c r="K96" s="684"/>
      <c r="L96" s="684">
        <v>50</v>
      </c>
      <c r="M96" s="684"/>
      <c r="N96" s="37"/>
      <c r="O96" s="684"/>
      <c r="P96" s="37"/>
      <c r="Q96" s="684"/>
      <c r="R96" s="684"/>
      <c r="S96" s="684"/>
      <c r="T96" s="684"/>
      <c r="U96" s="37"/>
      <c r="V96" s="684"/>
      <c r="W96" s="37"/>
      <c r="X96" s="684"/>
      <c r="Y96" s="37"/>
      <c r="Z96" s="684"/>
      <c r="AA96" s="897"/>
      <c r="AB96" s="870"/>
      <c r="AC96" s="684"/>
      <c r="AD96" s="684"/>
      <c r="AE96" s="684"/>
      <c r="AF96" s="684"/>
      <c r="AG96" s="684"/>
      <c r="AH96" s="807">
        <f t="shared" si="14"/>
        <v>50</v>
      </c>
      <c r="AI96" s="937">
        <v>45651</v>
      </c>
      <c r="AJ96" s="42" t="s">
        <v>1719</v>
      </c>
      <c r="AK96" s="494">
        <v>50</v>
      </c>
      <c r="AL96" s="764"/>
      <c r="AM96" s="769">
        <f t="shared" si="15"/>
        <v>0</v>
      </c>
      <c r="AN96" s="881"/>
      <c r="AO96" s="882"/>
      <c r="AP96" s="883"/>
      <c r="AQ96" s="883"/>
      <c r="AR96" s="883"/>
      <c r="AS96" s="883"/>
      <c r="AT96" s="883"/>
      <c r="AU96" s="883"/>
      <c r="AV96" s="883"/>
      <c r="AW96" s="883"/>
      <c r="AX96" s="883"/>
      <c r="AY96" s="883"/>
      <c r="AZ96" s="883"/>
      <c r="BA96" s="870">
        <f t="shared" si="16"/>
        <v>0</v>
      </c>
    </row>
    <row r="97" spans="1:53" ht="37.5" x14ac:dyDescent="0.3">
      <c r="A97" s="1053">
        <v>45644</v>
      </c>
      <c r="B97" s="42" t="s">
        <v>1723</v>
      </c>
      <c r="C97" s="955" t="s">
        <v>1715</v>
      </c>
      <c r="D97" s="775" t="s">
        <v>1717</v>
      </c>
      <c r="E97" s="684"/>
      <c r="F97" s="684"/>
      <c r="G97" s="684"/>
      <c r="H97" s="684"/>
      <c r="I97" s="684"/>
      <c r="J97" s="684"/>
      <c r="K97" s="684"/>
      <c r="L97" s="684">
        <v>1225</v>
      </c>
      <c r="M97" s="684"/>
      <c r="N97" s="37"/>
      <c r="O97" s="684"/>
      <c r="P97" s="55"/>
      <c r="Q97" s="684"/>
      <c r="R97" s="684"/>
      <c r="S97" s="684"/>
      <c r="T97" s="684"/>
      <c r="U97" s="37"/>
      <c r="V97" s="684"/>
      <c r="W97" s="37"/>
      <c r="X97" s="684"/>
      <c r="Y97" s="37"/>
      <c r="Z97" s="684"/>
      <c r="AA97" s="897"/>
      <c r="AB97" s="870"/>
      <c r="AC97" s="684"/>
      <c r="AD97" s="684"/>
      <c r="AE97" s="684"/>
      <c r="AF97" s="684"/>
      <c r="AG97" s="684"/>
      <c r="AH97" s="807">
        <f t="shared" si="14"/>
        <v>1225</v>
      </c>
      <c r="AI97" s="937">
        <v>45666</v>
      </c>
      <c r="AJ97" s="42" t="s">
        <v>1880</v>
      </c>
      <c r="AK97" s="494">
        <v>1225</v>
      </c>
      <c r="AL97" s="764"/>
      <c r="AM97" s="769">
        <f t="shared" si="15"/>
        <v>0</v>
      </c>
      <c r="AN97" s="881"/>
      <c r="AO97" s="882"/>
      <c r="AP97" s="883"/>
      <c r="AQ97" s="883"/>
      <c r="AR97" s="883"/>
      <c r="AS97" s="883"/>
      <c r="AT97" s="883"/>
      <c r="AU97" s="883"/>
      <c r="AV97" s="883"/>
      <c r="AW97" s="883"/>
      <c r="AX97" s="883"/>
      <c r="AY97" s="883"/>
      <c r="AZ97" s="883"/>
      <c r="BA97" s="870">
        <f t="shared" si="16"/>
        <v>0</v>
      </c>
    </row>
    <row r="98" spans="1:53" ht="18.75" x14ac:dyDescent="0.3">
      <c r="A98" s="1053">
        <v>45644</v>
      </c>
      <c r="B98" s="42" t="s">
        <v>1725</v>
      </c>
      <c r="C98" s="955" t="s">
        <v>1315</v>
      </c>
      <c r="D98" s="666" t="s">
        <v>1724</v>
      </c>
      <c r="E98" s="684">
        <v>18297</v>
      </c>
      <c r="F98" s="684"/>
      <c r="G98" s="684"/>
      <c r="H98" s="684"/>
      <c r="I98" s="684"/>
      <c r="J98" s="684"/>
      <c r="K98" s="684"/>
      <c r="L98" s="1078"/>
      <c r="M98" s="684"/>
      <c r="N98" s="37"/>
      <c r="O98" s="684"/>
      <c r="P98" s="37"/>
      <c r="Q98" s="684"/>
      <c r="R98" s="684"/>
      <c r="S98" s="684"/>
      <c r="T98" s="684"/>
      <c r="U98" s="37"/>
      <c r="V98" s="684"/>
      <c r="W98" s="37"/>
      <c r="X98" s="684"/>
      <c r="Y98" s="37"/>
      <c r="Z98" s="684"/>
      <c r="AA98" s="897"/>
      <c r="AB98" s="870"/>
      <c r="AC98" s="684"/>
      <c r="AD98" s="684"/>
      <c r="AE98" s="684"/>
      <c r="AF98" s="684"/>
      <c r="AG98" s="684"/>
      <c r="AH98" s="807">
        <f t="shared" si="14"/>
        <v>18297</v>
      </c>
      <c r="AI98" s="937">
        <v>45667</v>
      </c>
      <c r="AJ98" s="42" t="s">
        <v>1881</v>
      </c>
      <c r="AK98" s="494">
        <v>18297</v>
      </c>
      <c r="AL98" s="764"/>
      <c r="AM98" s="769">
        <f t="shared" si="15"/>
        <v>0</v>
      </c>
      <c r="AN98" s="881"/>
      <c r="AO98" s="882"/>
      <c r="AP98" s="883"/>
      <c r="AQ98" s="883"/>
      <c r="AR98" s="883"/>
      <c r="AS98" s="883"/>
      <c r="AT98" s="883"/>
      <c r="AU98" s="883"/>
      <c r="AV98" s="883"/>
      <c r="AW98" s="883"/>
      <c r="AX98" s="883"/>
      <c r="AY98" s="883"/>
      <c r="AZ98" s="883"/>
      <c r="BA98" s="870">
        <f t="shared" si="16"/>
        <v>0</v>
      </c>
    </row>
    <row r="99" spans="1:53" ht="18.75" x14ac:dyDescent="0.3">
      <c r="A99" s="1053">
        <v>45646</v>
      </c>
      <c r="B99" s="42" t="s">
        <v>1730</v>
      </c>
      <c r="C99" s="955" t="s">
        <v>1315</v>
      </c>
      <c r="D99" s="666" t="s">
        <v>1728</v>
      </c>
      <c r="E99" s="684"/>
      <c r="F99" s="684"/>
      <c r="G99" s="684"/>
      <c r="H99" s="684"/>
      <c r="I99" s="684"/>
      <c r="J99" s="684"/>
      <c r="K99" s="684"/>
      <c r="L99" s="1078"/>
      <c r="M99" s="684"/>
      <c r="N99" s="37"/>
      <c r="O99" s="684">
        <v>10192</v>
      </c>
      <c r="P99" s="37"/>
      <c r="Q99" s="684"/>
      <c r="R99" s="684"/>
      <c r="S99" s="684"/>
      <c r="T99" s="684"/>
      <c r="U99" s="37"/>
      <c r="V99" s="684"/>
      <c r="W99" s="37"/>
      <c r="X99" s="684"/>
      <c r="Y99" s="37"/>
      <c r="Z99" s="684"/>
      <c r="AA99" s="897"/>
      <c r="AB99" s="870"/>
      <c r="AC99" s="684"/>
      <c r="AD99" s="684"/>
      <c r="AE99" s="684"/>
      <c r="AF99" s="684"/>
      <c r="AG99" s="684"/>
      <c r="AH99" s="807">
        <f t="shared" si="14"/>
        <v>10192</v>
      </c>
      <c r="AI99" s="937">
        <v>45659</v>
      </c>
      <c r="AJ99" s="42" t="s">
        <v>1883</v>
      </c>
      <c r="AK99" s="494">
        <v>10192</v>
      </c>
      <c r="AL99" s="764"/>
      <c r="AM99" s="769">
        <f t="shared" si="15"/>
        <v>0</v>
      </c>
      <c r="AN99" s="881"/>
      <c r="AO99" s="882"/>
      <c r="AP99" s="883"/>
      <c r="AQ99" s="883"/>
      <c r="AR99" s="883"/>
      <c r="AS99" s="883"/>
      <c r="AT99" s="883"/>
      <c r="AU99" s="883"/>
      <c r="AV99" s="883"/>
      <c r="AW99" s="883"/>
      <c r="AX99" s="883"/>
      <c r="AY99" s="883"/>
      <c r="AZ99" s="883"/>
      <c r="BA99" s="870"/>
    </row>
    <row r="100" spans="1:53" ht="18.75" x14ac:dyDescent="0.3">
      <c r="A100" s="1053">
        <v>45649</v>
      </c>
      <c r="B100" s="42" t="s">
        <v>1731</v>
      </c>
      <c r="C100" s="955" t="s">
        <v>1714</v>
      </c>
      <c r="D100" s="666" t="s">
        <v>1729</v>
      </c>
      <c r="E100" s="684"/>
      <c r="F100" s="684"/>
      <c r="G100" s="684"/>
      <c r="H100" s="684"/>
      <c r="I100" s="684"/>
      <c r="J100" s="684"/>
      <c r="K100" s="684"/>
      <c r="L100" s="684">
        <v>385</v>
      </c>
      <c r="M100" s="684"/>
      <c r="N100" s="37"/>
      <c r="O100" s="684"/>
      <c r="P100" s="37"/>
      <c r="Q100" s="684"/>
      <c r="R100" s="684"/>
      <c r="S100" s="684"/>
      <c r="T100" s="684"/>
      <c r="U100" s="37"/>
      <c r="V100" s="684"/>
      <c r="W100" s="37"/>
      <c r="X100" s="684"/>
      <c r="Y100" s="37"/>
      <c r="Z100" s="684"/>
      <c r="AA100" s="897"/>
      <c r="AB100" s="870"/>
      <c r="AC100" s="684"/>
      <c r="AD100" s="684"/>
      <c r="AE100" s="684"/>
      <c r="AF100" s="684"/>
      <c r="AG100" s="684"/>
      <c r="AH100" s="807">
        <f t="shared" si="14"/>
        <v>385</v>
      </c>
      <c r="AI100" s="937">
        <v>45663</v>
      </c>
      <c r="AJ100" s="42" t="s">
        <v>1884</v>
      </c>
      <c r="AK100" s="494">
        <v>315</v>
      </c>
      <c r="AL100" s="764"/>
      <c r="AM100" s="769">
        <f t="shared" si="15"/>
        <v>70</v>
      </c>
      <c r="AN100" s="881"/>
      <c r="AO100" s="882"/>
      <c r="AP100" s="883"/>
      <c r="AQ100" s="883"/>
      <c r="AR100" s="883"/>
      <c r="AS100" s="883"/>
      <c r="AT100" s="883"/>
      <c r="AU100" s="883"/>
      <c r="AV100" s="883"/>
      <c r="AW100" s="883"/>
      <c r="AX100" s="883"/>
      <c r="AY100" s="883"/>
      <c r="AZ100" s="883"/>
      <c r="BA100" s="870"/>
    </row>
    <row r="101" spans="1:53" ht="37.5" x14ac:dyDescent="0.3">
      <c r="A101" s="1053">
        <v>45651</v>
      </c>
      <c r="B101" s="42" t="s">
        <v>1742</v>
      </c>
      <c r="C101" s="955" t="s">
        <v>1296</v>
      </c>
      <c r="D101" s="775" t="s">
        <v>1741</v>
      </c>
      <c r="E101" s="684"/>
      <c r="F101" s="684"/>
      <c r="G101" s="684"/>
      <c r="H101" s="684"/>
      <c r="I101" s="684"/>
      <c r="J101" s="684"/>
      <c r="K101" s="684"/>
      <c r="L101" s="1078"/>
      <c r="M101" s="684"/>
      <c r="N101" s="37"/>
      <c r="O101" s="684"/>
      <c r="P101" s="37">
        <v>1000</v>
      </c>
      <c r="Q101" s="684"/>
      <c r="R101" s="684"/>
      <c r="S101" s="684"/>
      <c r="T101" s="684"/>
      <c r="U101" s="37"/>
      <c r="V101" s="684"/>
      <c r="W101" s="37"/>
      <c r="X101" s="684"/>
      <c r="Y101" s="37"/>
      <c r="Z101" s="684"/>
      <c r="AA101" s="897"/>
      <c r="AB101" s="870"/>
      <c r="AC101" s="684"/>
      <c r="AD101" s="684"/>
      <c r="AE101" s="684"/>
      <c r="AF101" s="684"/>
      <c r="AG101" s="684"/>
      <c r="AH101" s="807">
        <f t="shared" si="14"/>
        <v>1000</v>
      </c>
      <c r="AI101" s="937"/>
      <c r="AJ101" s="42"/>
      <c r="AK101" s="494"/>
      <c r="AL101" s="764"/>
      <c r="AM101" s="769">
        <f t="shared" si="15"/>
        <v>1000</v>
      </c>
      <c r="AN101" s="881"/>
      <c r="AO101" s="882"/>
      <c r="AP101" s="883"/>
      <c r="AQ101" s="883"/>
      <c r="AR101" s="883"/>
      <c r="AS101" s="883"/>
      <c r="AT101" s="883"/>
      <c r="AU101" s="883"/>
      <c r="AV101" s="883"/>
      <c r="AW101" s="883"/>
      <c r="AX101" s="883"/>
      <c r="AY101" s="883"/>
      <c r="AZ101" s="883"/>
      <c r="BA101" s="870"/>
    </row>
    <row r="102" spans="1:53" ht="18.75" x14ac:dyDescent="0.3">
      <c r="A102" s="1053">
        <v>45653</v>
      </c>
      <c r="B102" s="42" t="s">
        <v>1748</v>
      </c>
      <c r="C102" s="955" t="s">
        <v>1321</v>
      </c>
      <c r="D102" s="775" t="s">
        <v>1745</v>
      </c>
      <c r="E102" s="684"/>
      <c r="F102" s="684"/>
      <c r="G102" s="684"/>
      <c r="H102" s="684"/>
      <c r="I102" s="684"/>
      <c r="J102" s="684"/>
      <c r="K102" s="684"/>
      <c r="L102" s="1078"/>
      <c r="M102" s="684"/>
      <c r="N102" s="37"/>
      <c r="O102" s="684"/>
      <c r="P102" s="37"/>
      <c r="Q102" s="684"/>
      <c r="R102" s="684"/>
      <c r="S102" s="684"/>
      <c r="T102" s="684"/>
      <c r="U102" s="37"/>
      <c r="V102" s="684"/>
      <c r="W102" s="37"/>
      <c r="X102" s="684"/>
      <c r="Y102" s="37"/>
      <c r="Z102" s="684"/>
      <c r="AA102" s="897"/>
      <c r="AB102" s="870"/>
      <c r="AC102" s="684">
        <v>90000</v>
      </c>
      <c r="AD102" s="684"/>
      <c r="AE102" s="684"/>
      <c r="AF102" s="684"/>
      <c r="AG102" s="684"/>
      <c r="AH102" s="807">
        <f t="shared" si="14"/>
        <v>90000</v>
      </c>
      <c r="AI102" s="937"/>
      <c r="AJ102" s="42"/>
      <c r="AK102" s="494"/>
      <c r="AL102" s="764"/>
      <c r="AM102" s="769">
        <f t="shared" si="15"/>
        <v>90000</v>
      </c>
      <c r="AN102" s="881"/>
      <c r="AO102" s="882"/>
      <c r="AP102" s="883"/>
      <c r="AQ102" s="883"/>
      <c r="AR102" s="883"/>
      <c r="AS102" s="883"/>
      <c r="AT102" s="883"/>
      <c r="AU102" s="883"/>
      <c r="AV102" s="883"/>
      <c r="AW102" s="883"/>
      <c r="AX102" s="883"/>
      <c r="AY102" s="883"/>
      <c r="AZ102" s="883"/>
      <c r="BA102" s="870"/>
    </row>
    <row r="103" spans="1:53" ht="37.5" x14ac:dyDescent="0.3">
      <c r="A103" s="1053">
        <v>45653</v>
      </c>
      <c r="B103" s="42" t="s">
        <v>1749</v>
      </c>
      <c r="C103" s="955" t="s">
        <v>1746</v>
      </c>
      <c r="D103" s="775" t="s">
        <v>1747</v>
      </c>
      <c r="E103" s="684"/>
      <c r="F103" s="684"/>
      <c r="G103" s="684"/>
      <c r="H103" s="684"/>
      <c r="I103" s="684"/>
      <c r="J103" s="684"/>
      <c r="K103" s="684"/>
      <c r="L103" s="1078"/>
      <c r="M103" s="684"/>
      <c r="N103" s="37"/>
      <c r="O103" s="684"/>
      <c r="P103" s="37">
        <v>3000</v>
      </c>
      <c r="Q103" s="684"/>
      <c r="R103" s="684"/>
      <c r="S103" s="684"/>
      <c r="T103" s="684"/>
      <c r="U103" s="37"/>
      <c r="V103" s="684"/>
      <c r="W103" s="37"/>
      <c r="X103" s="684"/>
      <c r="Y103" s="37"/>
      <c r="Z103" s="684"/>
      <c r="AA103" s="897"/>
      <c r="AB103" s="870"/>
      <c r="AC103" s="684"/>
      <c r="AD103" s="684"/>
      <c r="AE103" s="684"/>
      <c r="AF103" s="684"/>
      <c r="AG103" s="684"/>
      <c r="AH103" s="807">
        <f t="shared" si="14"/>
        <v>3000</v>
      </c>
      <c r="AI103" s="937">
        <v>45680</v>
      </c>
      <c r="AJ103" s="42" t="s">
        <v>1885</v>
      </c>
      <c r="AK103" s="494">
        <v>1400</v>
      </c>
      <c r="AL103" s="764"/>
      <c r="AM103" s="769">
        <f t="shared" si="15"/>
        <v>1600</v>
      </c>
      <c r="AN103" s="881"/>
      <c r="AO103" s="882"/>
      <c r="AP103" s="883"/>
      <c r="AQ103" s="883"/>
      <c r="AR103" s="883"/>
      <c r="AS103" s="883"/>
      <c r="AT103" s="883"/>
      <c r="AU103" s="883"/>
      <c r="AV103" s="883"/>
      <c r="AW103" s="883"/>
      <c r="AX103" s="883"/>
      <c r="AY103" s="883"/>
      <c r="AZ103" s="883"/>
      <c r="BA103" s="870"/>
    </row>
    <row r="104" spans="1:53" ht="18.75" x14ac:dyDescent="0.3">
      <c r="A104" s="1053"/>
      <c r="B104" s="42"/>
      <c r="C104" s="955"/>
      <c r="D104" s="775"/>
      <c r="E104" s="684"/>
      <c r="F104" s="684"/>
      <c r="G104" s="684"/>
      <c r="H104" s="684"/>
      <c r="I104" s="684"/>
      <c r="J104" s="684"/>
      <c r="K104" s="684"/>
      <c r="L104" s="1078"/>
      <c r="M104" s="684"/>
      <c r="N104" s="37"/>
      <c r="O104" s="684"/>
      <c r="P104" s="37"/>
      <c r="Q104" s="684"/>
      <c r="R104" s="684"/>
      <c r="S104" s="684"/>
      <c r="T104" s="684"/>
      <c r="U104" s="37"/>
      <c r="V104" s="684"/>
      <c r="W104" s="37"/>
      <c r="X104" s="684"/>
      <c r="Y104" s="37"/>
      <c r="Z104" s="684"/>
      <c r="AA104" s="897"/>
      <c r="AB104" s="870"/>
      <c r="AC104" s="684"/>
      <c r="AD104" s="684"/>
      <c r="AE104" s="684"/>
      <c r="AF104" s="684"/>
      <c r="AG104" s="684"/>
      <c r="AH104" s="807"/>
      <c r="AI104" s="937"/>
      <c r="AJ104" s="42"/>
      <c r="AK104" s="494"/>
      <c r="AL104" s="764"/>
      <c r="AM104" s="769"/>
      <c r="AN104" s="881"/>
      <c r="AO104" s="882"/>
      <c r="AP104" s="883"/>
      <c r="AQ104" s="883"/>
      <c r="AR104" s="883"/>
      <c r="AS104" s="883"/>
      <c r="AT104" s="883"/>
      <c r="AU104" s="883"/>
      <c r="AV104" s="883"/>
      <c r="AW104" s="883"/>
      <c r="AX104" s="883"/>
      <c r="AY104" s="883"/>
      <c r="AZ104" s="883"/>
      <c r="BA104" s="870"/>
    </row>
    <row r="105" spans="1:53" ht="18.75" x14ac:dyDescent="0.3">
      <c r="A105" s="1053"/>
      <c r="B105" s="42"/>
      <c r="C105" s="955"/>
      <c r="D105" s="775"/>
      <c r="E105" s="684"/>
      <c r="F105" s="684"/>
      <c r="G105" s="684"/>
      <c r="H105" s="684"/>
      <c r="I105" s="684"/>
      <c r="J105" s="684"/>
      <c r="K105" s="684"/>
      <c r="L105" s="684"/>
      <c r="M105" s="684"/>
      <c r="N105" s="37"/>
      <c r="O105" s="684"/>
      <c r="P105" s="37"/>
      <c r="Q105" s="684"/>
      <c r="R105" s="684"/>
      <c r="S105" s="684"/>
      <c r="T105" s="684"/>
      <c r="U105" s="37"/>
      <c r="V105" s="684"/>
      <c r="W105" s="37"/>
      <c r="X105" s="684"/>
      <c r="Y105" s="37"/>
      <c r="Z105" s="684"/>
      <c r="AA105" s="897"/>
      <c r="AB105" s="870"/>
      <c r="AC105" s="684"/>
      <c r="AD105" s="684"/>
      <c r="AE105" s="684"/>
      <c r="AF105" s="684"/>
      <c r="AG105" s="684"/>
      <c r="AH105" s="807"/>
      <c r="AI105" s="937"/>
      <c r="AJ105" s="42"/>
      <c r="AK105" s="494"/>
      <c r="AL105" s="764"/>
      <c r="AM105" s="769"/>
      <c r="AN105" s="881"/>
      <c r="AO105" s="882"/>
      <c r="AP105" s="883"/>
      <c r="AQ105" s="883"/>
      <c r="AR105" s="883"/>
      <c r="AS105" s="883"/>
      <c r="AT105" s="883"/>
      <c r="AU105" s="883"/>
      <c r="AV105" s="883"/>
      <c r="AW105" s="883"/>
      <c r="AX105" s="883"/>
      <c r="AY105" s="883"/>
      <c r="AZ105" s="883"/>
      <c r="BA105" s="870"/>
    </row>
    <row r="106" spans="1:53" ht="18.75" x14ac:dyDescent="0.3">
      <c r="A106" s="1079"/>
      <c r="B106" s="171"/>
      <c r="C106" s="955"/>
      <c r="D106" s="666"/>
      <c r="E106" s="684"/>
      <c r="F106" s="684"/>
      <c r="G106" s="684"/>
      <c r="H106" s="684"/>
      <c r="I106" s="684"/>
      <c r="J106" s="684"/>
      <c r="K106" s="684"/>
      <c r="L106" s="1078"/>
      <c r="M106" s="684"/>
      <c r="N106" s="37"/>
      <c r="O106" s="684"/>
      <c r="P106" s="37"/>
      <c r="Q106" s="684"/>
      <c r="R106" s="684"/>
      <c r="S106" s="684"/>
      <c r="T106" s="684"/>
      <c r="U106" s="37"/>
      <c r="V106" s="684"/>
      <c r="W106" s="37"/>
      <c r="X106" s="684"/>
      <c r="Y106" s="37"/>
      <c r="Z106" s="684"/>
      <c r="AA106" s="897"/>
      <c r="AB106" s="870"/>
      <c r="AC106" s="684"/>
      <c r="AD106" s="684"/>
      <c r="AE106" s="684"/>
      <c r="AF106" s="684"/>
      <c r="AG106" s="684"/>
      <c r="AH106" s="807">
        <f t="shared" si="14"/>
        <v>0</v>
      </c>
      <c r="AI106" s="937"/>
      <c r="AJ106" s="42"/>
      <c r="AK106" s="494"/>
      <c r="AL106" s="764"/>
      <c r="AM106" s="769">
        <f t="shared" si="15"/>
        <v>0</v>
      </c>
      <c r="AN106" s="881"/>
      <c r="AO106" s="882"/>
      <c r="AP106" s="883"/>
      <c r="AQ106" s="883"/>
      <c r="AR106" s="883"/>
      <c r="AS106" s="883"/>
      <c r="AT106" s="883"/>
      <c r="AU106" s="883"/>
      <c r="AV106" s="883"/>
      <c r="AW106" s="883"/>
      <c r="AX106" s="883"/>
      <c r="AY106" s="883"/>
      <c r="AZ106" s="883"/>
      <c r="BA106" s="870"/>
    </row>
    <row r="107" spans="1:53" ht="18.75" x14ac:dyDescent="0.3">
      <c r="A107" s="1079"/>
      <c r="B107" s="171"/>
      <c r="C107" s="955"/>
      <c r="D107" s="666"/>
      <c r="E107" s="684"/>
      <c r="F107" s="684"/>
      <c r="G107" s="684"/>
      <c r="H107" s="684"/>
      <c r="I107" s="684"/>
      <c r="J107" s="684"/>
      <c r="K107" s="684"/>
      <c r="L107" s="684"/>
      <c r="M107" s="1080"/>
      <c r="N107" s="37"/>
      <c r="O107" s="684"/>
      <c r="P107" s="37"/>
      <c r="Q107" s="684"/>
      <c r="R107" s="684"/>
      <c r="S107" s="684"/>
      <c r="T107" s="684"/>
      <c r="U107" s="37"/>
      <c r="V107" s="684"/>
      <c r="W107" s="37"/>
      <c r="X107" s="684"/>
      <c r="Y107" s="37"/>
      <c r="Z107" s="684"/>
      <c r="AA107" s="897"/>
      <c r="AB107" s="870"/>
      <c r="AC107" s="684"/>
      <c r="AD107" s="684"/>
      <c r="AE107" s="684"/>
      <c r="AF107" s="684"/>
      <c r="AG107" s="684"/>
      <c r="AH107" s="807">
        <f t="shared" si="14"/>
        <v>0</v>
      </c>
      <c r="AI107" s="937"/>
      <c r="AJ107" s="42"/>
      <c r="AK107" s="494"/>
      <c r="AL107" s="764"/>
      <c r="AM107" s="769">
        <f t="shared" si="15"/>
        <v>0</v>
      </c>
      <c r="AN107" s="881"/>
      <c r="AO107" s="882"/>
      <c r="AP107" s="883"/>
      <c r="AQ107" s="883"/>
      <c r="AR107" s="883"/>
      <c r="AS107" s="883"/>
      <c r="AT107" s="883"/>
      <c r="AU107" s="883"/>
      <c r="AV107" s="883"/>
      <c r="AW107" s="883"/>
      <c r="AX107" s="883"/>
      <c r="AY107" s="883"/>
      <c r="AZ107" s="883"/>
      <c r="BA107" s="870">
        <f t="shared" si="16"/>
        <v>0</v>
      </c>
    </row>
    <row r="108" spans="1:53" ht="18.75" x14ac:dyDescent="0.3">
      <c r="A108" s="1079"/>
      <c r="B108" s="171"/>
      <c r="C108" s="955"/>
      <c r="D108" s="666"/>
      <c r="E108" s="684"/>
      <c r="F108" s="684"/>
      <c r="G108" s="684"/>
      <c r="H108" s="684"/>
      <c r="I108" s="684"/>
      <c r="J108" s="684"/>
      <c r="K108" s="684"/>
      <c r="L108" s="1080"/>
      <c r="M108" s="684"/>
      <c r="N108" s="37"/>
      <c r="O108" s="684"/>
      <c r="P108" s="37"/>
      <c r="Q108" s="684"/>
      <c r="R108" s="684"/>
      <c r="S108" s="684"/>
      <c r="T108" s="684"/>
      <c r="U108" s="37"/>
      <c r="V108" s="684"/>
      <c r="W108" s="37"/>
      <c r="X108" s="684"/>
      <c r="Y108" s="37"/>
      <c r="Z108" s="684"/>
      <c r="AA108" s="897"/>
      <c r="AB108" s="870"/>
      <c r="AC108" s="684"/>
      <c r="AD108" s="684"/>
      <c r="AE108" s="684"/>
      <c r="AF108" s="684"/>
      <c r="AG108" s="684"/>
      <c r="AH108" s="807">
        <f t="shared" si="14"/>
        <v>0</v>
      </c>
      <c r="AI108" s="937"/>
      <c r="AJ108" s="42"/>
      <c r="AK108" s="494"/>
      <c r="AL108" s="764"/>
      <c r="AM108" s="769">
        <f t="shared" si="15"/>
        <v>0</v>
      </c>
      <c r="AN108" s="881"/>
      <c r="AO108" s="882"/>
      <c r="AP108" s="883"/>
      <c r="AQ108" s="883"/>
      <c r="AR108" s="883"/>
      <c r="AS108" s="883"/>
      <c r="AT108" s="883"/>
      <c r="AU108" s="883"/>
      <c r="AV108" s="883"/>
      <c r="AW108" s="883"/>
      <c r="AX108" s="883"/>
      <c r="AY108" s="883"/>
      <c r="AZ108" s="883"/>
      <c r="BA108" s="870">
        <f t="shared" si="16"/>
        <v>0</v>
      </c>
    </row>
    <row r="109" spans="1:53" ht="18.75" x14ac:dyDescent="0.3">
      <c r="A109" s="1031"/>
      <c r="B109" s="1081"/>
      <c r="C109" s="1033"/>
      <c r="D109" s="1034"/>
      <c r="E109" s="916"/>
      <c r="F109" s="916"/>
      <c r="G109" s="916"/>
      <c r="H109" s="916"/>
      <c r="I109" s="916"/>
      <c r="J109" s="916"/>
      <c r="K109" s="916"/>
      <c r="L109" s="916"/>
      <c r="M109" s="916"/>
      <c r="N109" s="888"/>
      <c r="O109" s="916"/>
      <c r="P109" s="888"/>
      <c r="Q109" s="916"/>
      <c r="R109" s="916"/>
      <c r="S109" s="916"/>
      <c r="T109" s="916"/>
      <c r="U109" s="888"/>
      <c r="V109" s="916"/>
      <c r="W109" s="888"/>
      <c r="X109" s="916"/>
      <c r="Y109" s="888"/>
      <c r="Z109" s="916"/>
      <c r="AA109" s="898"/>
      <c r="AB109" s="888"/>
      <c r="AC109" s="916"/>
      <c r="AD109" s="916"/>
      <c r="AE109" s="916"/>
      <c r="AF109" s="916"/>
      <c r="AG109" s="916"/>
      <c r="AH109" s="1049">
        <f t="shared" si="14"/>
        <v>0</v>
      </c>
      <c r="AI109" s="937"/>
      <c r="AJ109" s="42"/>
      <c r="AK109" s="494"/>
      <c r="AL109" s="764"/>
      <c r="AM109" s="769">
        <f t="shared" si="15"/>
        <v>0</v>
      </c>
      <c r="AN109" s="881"/>
      <c r="AO109" s="882"/>
      <c r="AP109" s="870"/>
      <c r="AQ109" s="870"/>
      <c r="AR109" s="870"/>
      <c r="AS109" s="870"/>
      <c r="AT109" s="870"/>
      <c r="AU109" s="870"/>
      <c r="AV109" s="870"/>
      <c r="AW109" s="870"/>
      <c r="AX109" s="870"/>
      <c r="AY109" s="870"/>
      <c r="AZ109" s="870"/>
      <c r="BA109" s="870">
        <f t="shared" si="16"/>
        <v>0</v>
      </c>
    </row>
    <row r="110" spans="1:53" ht="18.75" customHeight="1" x14ac:dyDescent="0.3">
      <c r="A110" s="742"/>
      <c r="B110" s="506"/>
      <c r="C110" s="482"/>
      <c r="D110" s="507" t="s">
        <v>221</v>
      </c>
      <c r="E110" s="156">
        <f t="shared" ref="E110:AG110" si="17">SUM(E81:E109)</f>
        <v>40505</v>
      </c>
      <c r="F110" s="156">
        <f t="shared" si="17"/>
        <v>63439.23</v>
      </c>
      <c r="G110" s="156">
        <f t="shared" si="17"/>
        <v>0</v>
      </c>
      <c r="H110" s="156">
        <f t="shared" si="17"/>
        <v>0</v>
      </c>
      <c r="I110" s="156">
        <f t="shared" si="17"/>
        <v>0</v>
      </c>
      <c r="J110" s="156">
        <f t="shared" si="17"/>
        <v>0</v>
      </c>
      <c r="K110" s="156">
        <f t="shared" si="17"/>
        <v>0</v>
      </c>
      <c r="L110" s="156">
        <f t="shared" si="17"/>
        <v>11350</v>
      </c>
      <c r="M110" s="156">
        <f t="shared" si="17"/>
        <v>0</v>
      </c>
      <c r="N110" s="508">
        <f t="shared" si="17"/>
        <v>4800</v>
      </c>
      <c r="O110" s="156">
        <f t="shared" si="17"/>
        <v>55192</v>
      </c>
      <c r="P110" s="156">
        <f t="shared" si="17"/>
        <v>13000</v>
      </c>
      <c r="Q110" s="156">
        <f t="shared" si="17"/>
        <v>0</v>
      </c>
      <c r="R110" s="156">
        <f t="shared" si="17"/>
        <v>0</v>
      </c>
      <c r="S110" s="156">
        <f t="shared" si="17"/>
        <v>0</v>
      </c>
      <c r="T110" s="156">
        <f t="shared" si="17"/>
        <v>0</v>
      </c>
      <c r="U110" s="156">
        <f t="shared" si="17"/>
        <v>0</v>
      </c>
      <c r="V110" s="156">
        <f t="shared" si="17"/>
        <v>0</v>
      </c>
      <c r="W110" s="156">
        <f t="shared" si="17"/>
        <v>39162</v>
      </c>
      <c r="X110" s="156">
        <f t="shared" si="17"/>
        <v>0</v>
      </c>
      <c r="Y110" s="156">
        <f t="shared" si="17"/>
        <v>0</v>
      </c>
      <c r="Z110" s="156">
        <f t="shared" si="17"/>
        <v>0</v>
      </c>
      <c r="AA110" s="902">
        <f t="shared" si="17"/>
        <v>0</v>
      </c>
      <c r="AB110" s="508">
        <f t="shared" si="17"/>
        <v>0</v>
      </c>
      <c r="AC110" s="156">
        <f t="shared" si="17"/>
        <v>90000</v>
      </c>
      <c r="AD110" s="156">
        <f t="shared" si="17"/>
        <v>0</v>
      </c>
      <c r="AE110" s="156">
        <f t="shared" si="17"/>
        <v>0</v>
      </c>
      <c r="AF110" s="156">
        <f t="shared" si="17"/>
        <v>0</v>
      </c>
      <c r="AG110" s="156">
        <f t="shared" si="17"/>
        <v>0</v>
      </c>
      <c r="AH110" s="786">
        <f t="shared" si="14"/>
        <v>317448.23</v>
      </c>
      <c r="AI110" s="937"/>
      <c r="AJ110" s="490"/>
      <c r="AK110" s="509"/>
      <c r="AL110" s="765"/>
      <c r="AM110" s="769"/>
      <c r="AN110" s="396"/>
      <c r="AO110" s="397"/>
      <c r="AP110" s="37"/>
      <c r="AQ110" s="491"/>
      <c r="AR110" s="491"/>
      <c r="AS110" s="491"/>
      <c r="AT110" s="491"/>
      <c r="AU110" s="491"/>
      <c r="AV110" s="491"/>
      <c r="AW110" s="491"/>
      <c r="AX110" s="491"/>
      <c r="AY110" s="491"/>
      <c r="AZ110" s="491"/>
      <c r="BA110" s="491"/>
    </row>
    <row r="111" spans="1:53" ht="18.75" customHeight="1" x14ac:dyDescent="0.3">
      <c r="A111" s="742"/>
      <c r="B111" s="506"/>
      <c r="C111" s="482"/>
      <c r="D111" s="507" t="s">
        <v>222</v>
      </c>
      <c r="E111" s="150">
        <f t="shared" ref="E111:AG111" si="18">SUM(E79+E110)</f>
        <v>52431</v>
      </c>
      <c r="F111" s="150">
        <f t="shared" si="18"/>
        <v>104149.33</v>
      </c>
      <c r="G111" s="150">
        <f t="shared" si="18"/>
        <v>4500</v>
      </c>
      <c r="H111" s="150">
        <f t="shared" si="18"/>
        <v>0</v>
      </c>
      <c r="I111" s="150">
        <f t="shared" si="18"/>
        <v>0</v>
      </c>
      <c r="J111" s="150">
        <f t="shared" si="18"/>
        <v>2600</v>
      </c>
      <c r="K111" s="150">
        <f t="shared" si="18"/>
        <v>0</v>
      </c>
      <c r="L111" s="150">
        <f t="shared" si="18"/>
        <v>45970</v>
      </c>
      <c r="M111" s="150">
        <f t="shared" si="18"/>
        <v>330000</v>
      </c>
      <c r="N111" s="510">
        <f t="shared" si="18"/>
        <v>23600</v>
      </c>
      <c r="O111" s="150">
        <f t="shared" si="18"/>
        <v>55192</v>
      </c>
      <c r="P111" s="150">
        <f t="shared" si="18"/>
        <v>68210</v>
      </c>
      <c r="Q111" s="150">
        <f t="shared" si="18"/>
        <v>0</v>
      </c>
      <c r="R111" s="150">
        <f t="shared" si="18"/>
        <v>0</v>
      </c>
      <c r="S111" s="150">
        <f t="shared" si="18"/>
        <v>0</v>
      </c>
      <c r="T111" s="150">
        <f t="shared" si="18"/>
        <v>214000</v>
      </c>
      <c r="U111" s="150">
        <f t="shared" si="18"/>
        <v>0</v>
      </c>
      <c r="V111" s="150">
        <f t="shared" si="18"/>
        <v>98000</v>
      </c>
      <c r="W111" s="150">
        <f t="shared" si="18"/>
        <v>39162</v>
      </c>
      <c r="X111" s="150">
        <f t="shared" si="18"/>
        <v>1620000</v>
      </c>
      <c r="Y111" s="150">
        <f t="shared" si="18"/>
        <v>0</v>
      </c>
      <c r="Z111" s="150">
        <f t="shared" si="18"/>
        <v>99296</v>
      </c>
      <c r="AA111" s="903">
        <f t="shared" si="18"/>
        <v>152876.25</v>
      </c>
      <c r="AB111" s="510">
        <f t="shared" si="18"/>
        <v>350000</v>
      </c>
      <c r="AC111" s="150">
        <f t="shared" si="18"/>
        <v>364200</v>
      </c>
      <c r="AD111" s="150">
        <f t="shared" si="18"/>
        <v>0</v>
      </c>
      <c r="AE111" s="150">
        <f t="shared" si="18"/>
        <v>0</v>
      </c>
      <c r="AF111" s="150">
        <f t="shared" si="18"/>
        <v>0</v>
      </c>
      <c r="AG111" s="150">
        <f t="shared" si="18"/>
        <v>0</v>
      </c>
      <c r="AH111" s="786">
        <f t="shared" si="14"/>
        <v>3624186.58</v>
      </c>
      <c r="AI111" s="937"/>
      <c r="AJ111" s="490"/>
      <c r="AK111" s="509"/>
      <c r="AL111" s="765"/>
      <c r="AM111" s="769"/>
      <c r="AN111" s="396"/>
      <c r="AO111" s="397"/>
      <c r="AP111" s="37"/>
      <c r="AQ111" s="55"/>
      <c r="AR111" s="55"/>
      <c r="AS111" s="55"/>
      <c r="AT111" s="55"/>
      <c r="AU111" s="55"/>
      <c r="AV111" s="55"/>
      <c r="AW111" s="55"/>
      <c r="AX111" s="55"/>
      <c r="AY111" s="55"/>
      <c r="AZ111" s="55"/>
      <c r="BA111" s="55"/>
    </row>
    <row r="112" spans="1:53" ht="18.75" customHeight="1" x14ac:dyDescent="0.3">
      <c r="A112" s="743"/>
      <c r="B112" s="511"/>
      <c r="C112" s="484"/>
      <c r="D112" s="512" t="s">
        <v>223</v>
      </c>
      <c r="E112" s="153">
        <f t="shared" ref="E112:AG112" si="19">SUM(E80-E110)</f>
        <v>514369</v>
      </c>
      <c r="F112" s="153">
        <f t="shared" si="19"/>
        <v>45850.669999999991</v>
      </c>
      <c r="G112" s="153">
        <f t="shared" si="19"/>
        <v>323500</v>
      </c>
      <c r="H112" s="153">
        <f t="shared" si="19"/>
        <v>0</v>
      </c>
      <c r="I112" s="153">
        <f t="shared" si="19"/>
        <v>0</v>
      </c>
      <c r="J112" s="153">
        <f t="shared" si="19"/>
        <v>-2600</v>
      </c>
      <c r="K112" s="153">
        <f t="shared" si="19"/>
        <v>0</v>
      </c>
      <c r="L112" s="153">
        <f t="shared" si="19"/>
        <v>201930</v>
      </c>
      <c r="M112" s="153">
        <f t="shared" si="19"/>
        <v>-330000</v>
      </c>
      <c r="N112" s="513">
        <f t="shared" si="19"/>
        <v>-23600</v>
      </c>
      <c r="O112" s="153">
        <f t="shared" si="19"/>
        <v>194808</v>
      </c>
      <c r="P112" s="153">
        <f t="shared" si="19"/>
        <v>71790</v>
      </c>
      <c r="Q112" s="153">
        <f t="shared" si="19"/>
        <v>0</v>
      </c>
      <c r="R112" s="153">
        <f t="shared" si="19"/>
        <v>0</v>
      </c>
      <c r="S112" s="153">
        <f t="shared" si="19"/>
        <v>0</v>
      </c>
      <c r="T112" s="153">
        <f t="shared" si="19"/>
        <v>0</v>
      </c>
      <c r="U112" s="153">
        <f t="shared" si="19"/>
        <v>388945</v>
      </c>
      <c r="V112" s="153">
        <f t="shared" si="19"/>
        <v>-23100</v>
      </c>
      <c r="W112" s="153">
        <f t="shared" si="19"/>
        <v>1154497</v>
      </c>
      <c r="X112" s="153">
        <f t="shared" si="19"/>
        <v>-115200</v>
      </c>
      <c r="Y112" s="153">
        <f t="shared" si="19"/>
        <v>189600</v>
      </c>
      <c r="Z112" s="153">
        <f t="shared" si="19"/>
        <v>0</v>
      </c>
      <c r="AA112" s="904">
        <f t="shared" si="19"/>
        <v>7123.75</v>
      </c>
      <c r="AB112" s="513">
        <f t="shared" si="19"/>
        <v>-175200</v>
      </c>
      <c r="AC112" s="153">
        <f t="shared" si="19"/>
        <v>-166200</v>
      </c>
      <c r="AD112" s="153">
        <f t="shared" si="19"/>
        <v>0</v>
      </c>
      <c r="AE112" s="153">
        <f t="shared" si="19"/>
        <v>8500000</v>
      </c>
      <c r="AF112" s="153">
        <f t="shared" si="19"/>
        <v>716400</v>
      </c>
      <c r="AG112" s="153">
        <f t="shared" si="19"/>
        <v>1113800</v>
      </c>
      <c r="AH112" s="787">
        <f t="shared" si="14"/>
        <v>12586713.42</v>
      </c>
      <c r="AI112" s="937"/>
      <c r="AJ112" s="490"/>
      <c r="AK112" s="509"/>
      <c r="AL112" s="765"/>
      <c r="AM112" s="769"/>
      <c r="AN112" s="396"/>
      <c r="AO112" s="397"/>
      <c r="AP112" s="37"/>
      <c r="AQ112" s="55"/>
      <c r="AR112" s="55"/>
      <c r="AS112" s="55"/>
      <c r="AT112" s="55"/>
      <c r="AU112" s="55"/>
      <c r="AV112" s="55"/>
      <c r="AW112" s="55"/>
      <c r="AX112" s="55"/>
      <c r="AY112" s="55"/>
      <c r="AZ112" s="55"/>
      <c r="BA112" s="55"/>
    </row>
    <row r="113" spans="1:53" ht="18.75" customHeight="1" x14ac:dyDescent="0.3">
      <c r="A113" s="1035" t="s">
        <v>224</v>
      </c>
      <c r="B113" s="171"/>
      <c r="C113" s="955"/>
      <c r="D113" s="41"/>
      <c r="E113" s="684"/>
      <c r="F113" s="684"/>
      <c r="G113" s="684"/>
      <c r="H113" s="684"/>
      <c r="I113" s="684"/>
      <c r="J113" s="966"/>
      <c r="K113" s="966"/>
      <c r="L113" s="966"/>
      <c r="M113" s="684"/>
      <c r="N113" s="37"/>
      <c r="O113" s="684"/>
      <c r="P113" s="37"/>
      <c r="Q113" s="684"/>
      <c r="R113" s="684"/>
      <c r="S113" s="684"/>
      <c r="T113" s="684"/>
      <c r="U113" s="37"/>
      <c r="V113" s="684"/>
      <c r="W113" s="37"/>
      <c r="X113" s="684"/>
      <c r="Y113" s="37"/>
      <c r="Z113" s="684"/>
      <c r="AA113" s="897"/>
      <c r="AB113" s="870"/>
      <c r="AC113" s="684"/>
      <c r="AD113" s="684"/>
      <c r="AE113" s="684"/>
      <c r="AF113" s="684"/>
      <c r="AG113" s="684"/>
      <c r="AH113" s="1036"/>
      <c r="AI113" s="937"/>
      <c r="AJ113" s="42"/>
      <c r="AK113" s="494"/>
      <c r="AL113" s="764"/>
      <c r="AM113" s="769">
        <f t="shared" ref="AM113:AM115" si="20">AH113-AK113-AL113</f>
        <v>0</v>
      </c>
      <c r="AN113" s="481"/>
      <c r="AO113" s="395"/>
      <c r="AP113" s="37"/>
      <c r="AQ113" s="37"/>
      <c r="AR113" s="37"/>
      <c r="AS113" s="476"/>
      <c r="AT113" s="476"/>
      <c r="AU113" s="476"/>
      <c r="AV113" s="476"/>
      <c r="AW113" s="476"/>
      <c r="AX113" s="476"/>
      <c r="AY113" s="476"/>
      <c r="AZ113" s="476"/>
      <c r="BA113" s="476"/>
    </row>
    <row r="114" spans="1:53" ht="37.5" x14ac:dyDescent="0.3">
      <c r="A114" s="1053">
        <v>45659</v>
      </c>
      <c r="B114" s="42" t="s">
        <v>1889</v>
      </c>
      <c r="C114" s="955" t="s">
        <v>1888</v>
      </c>
      <c r="D114" s="775" t="s">
        <v>1887</v>
      </c>
      <c r="E114" s="684"/>
      <c r="F114" s="684"/>
      <c r="G114" s="684"/>
      <c r="H114" s="684"/>
      <c r="I114" s="684"/>
      <c r="J114" s="684"/>
      <c r="K114" s="684"/>
      <c r="L114" s="1078"/>
      <c r="M114" s="684"/>
      <c r="N114" s="37"/>
      <c r="O114" s="684"/>
      <c r="P114" s="37">
        <v>1000</v>
      </c>
      <c r="Q114" s="684"/>
      <c r="R114" s="684"/>
      <c r="S114" s="684"/>
      <c r="T114" s="684"/>
      <c r="U114" s="37"/>
      <c r="V114" s="684"/>
      <c r="W114" s="37"/>
      <c r="X114" s="684"/>
      <c r="Y114" s="37"/>
      <c r="Z114" s="684"/>
      <c r="AA114" s="897"/>
      <c r="AB114" s="870"/>
      <c r="AC114" s="684"/>
      <c r="AD114" s="684"/>
      <c r="AE114" s="684"/>
      <c r="AF114" s="684"/>
      <c r="AG114" s="684"/>
      <c r="AH114" s="807">
        <f t="shared" ref="AH114:AH115" si="21">SUM(E114:AG114)</f>
        <v>1000</v>
      </c>
      <c r="AI114" s="937"/>
      <c r="AJ114" s="42"/>
      <c r="AK114" s="494"/>
      <c r="AL114" s="764"/>
      <c r="AM114" s="769">
        <f t="shared" si="20"/>
        <v>1000</v>
      </c>
      <c r="AN114" s="881"/>
      <c r="AO114" s="882"/>
      <c r="AP114" s="870"/>
      <c r="AQ114" s="870"/>
      <c r="AR114" s="870"/>
      <c r="AS114" s="870"/>
      <c r="AT114" s="870"/>
      <c r="AU114" s="870"/>
      <c r="AV114" s="870"/>
      <c r="AW114" s="870"/>
      <c r="AX114" s="870"/>
      <c r="AY114" s="870"/>
      <c r="AZ114" s="870"/>
      <c r="BA114" s="870">
        <f>SUM(AO114:AZ114)</f>
        <v>0</v>
      </c>
    </row>
    <row r="115" spans="1:53" ht="39.75" customHeight="1" x14ac:dyDescent="0.3">
      <c r="A115" s="1053">
        <v>45660</v>
      </c>
      <c r="B115" s="42" t="s">
        <v>1895</v>
      </c>
      <c r="C115" s="955" t="s">
        <v>1303</v>
      </c>
      <c r="D115" s="775" t="s">
        <v>1894</v>
      </c>
      <c r="E115" s="684"/>
      <c r="F115" s="684"/>
      <c r="G115" s="684"/>
      <c r="H115" s="684"/>
      <c r="I115" s="684"/>
      <c r="J115" s="684"/>
      <c r="K115" s="684"/>
      <c r="L115" s="684">
        <v>35</v>
      </c>
      <c r="M115" s="684"/>
      <c r="N115" s="37"/>
      <c r="O115" s="684"/>
      <c r="P115" s="37"/>
      <c r="Q115" s="684"/>
      <c r="R115" s="684"/>
      <c r="S115" s="684"/>
      <c r="T115" s="684"/>
      <c r="U115" s="37"/>
      <c r="V115" s="684"/>
      <c r="W115" s="37"/>
      <c r="X115" s="684"/>
      <c r="Y115" s="37"/>
      <c r="Z115" s="684"/>
      <c r="AA115" s="897"/>
      <c r="AB115" s="870"/>
      <c r="AC115" s="684"/>
      <c r="AD115" s="684"/>
      <c r="AE115" s="684"/>
      <c r="AF115" s="684"/>
      <c r="AG115" s="684"/>
      <c r="AH115" s="807">
        <f t="shared" si="21"/>
        <v>35</v>
      </c>
      <c r="AI115" s="937">
        <v>45663</v>
      </c>
      <c r="AJ115" s="42" t="s">
        <v>1867</v>
      </c>
      <c r="AK115" s="494">
        <v>35</v>
      </c>
      <c r="AL115" s="764"/>
      <c r="AM115" s="769">
        <f t="shared" si="20"/>
        <v>0</v>
      </c>
      <c r="AN115" s="881"/>
      <c r="AO115" s="882"/>
      <c r="AP115" s="870"/>
      <c r="AQ115" s="870"/>
      <c r="AR115" s="870"/>
      <c r="AS115" s="870"/>
      <c r="AT115" s="870"/>
      <c r="AU115" s="870"/>
      <c r="AV115" s="870"/>
      <c r="AW115" s="870"/>
      <c r="AX115" s="870"/>
      <c r="AY115" s="870"/>
      <c r="AZ115" s="870"/>
      <c r="BA115" s="870">
        <f t="shared" ref="BA115:BA142" si="22">SUM(AO115:AZ115)</f>
        <v>0</v>
      </c>
    </row>
    <row r="116" spans="1:53" ht="18.75" x14ac:dyDescent="0.3">
      <c r="A116" s="1053">
        <v>45660</v>
      </c>
      <c r="B116" s="42" t="s">
        <v>1897</v>
      </c>
      <c r="C116" s="955" t="s">
        <v>1303</v>
      </c>
      <c r="D116" s="34" t="s">
        <v>1896</v>
      </c>
      <c r="E116" s="684"/>
      <c r="F116" s="684"/>
      <c r="G116" s="684"/>
      <c r="H116" s="684"/>
      <c r="I116" s="684"/>
      <c r="J116" s="684"/>
      <c r="K116" s="684"/>
      <c r="L116" s="684"/>
      <c r="M116" s="684"/>
      <c r="N116" s="37"/>
      <c r="O116" s="684"/>
      <c r="P116" s="37">
        <v>3000</v>
      </c>
      <c r="Q116" s="684"/>
      <c r="R116" s="684"/>
      <c r="S116" s="684"/>
      <c r="T116" s="684"/>
      <c r="U116" s="37"/>
      <c r="V116" s="684"/>
      <c r="W116" s="37"/>
      <c r="X116" s="684"/>
      <c r="Y116" s="37"/>
      <c r="Z116" s="684"/>
      <c r="AA116" s="897"/>
      <c r="AB116" s="870"/>
      <c r="AC116" s="684"/>
      <c r="AD116" s="684"/>
      <c r="AE116" s="684"/>
      <c r="AF116" s="684"/>
      <c r="AG116" s="684"/>
      <c r="AH116" s="807">
        <f t="shared" ref="AH116:AH145" si="23">SUM(E116:AG116)</f>
        <v>3000</v>
      </c>
      <c r="AI116" s="937"/>
      <c r="AJ116" s="65"/>
      <c r="AK116" s="494"/>
      <c r="AL116" s="764"/>
      <c r="AM116" s="769">
        <f t="shared" ref="AM116:AM142" si="24">AH116-AK116-AL116</f>
        <v>3000</v>
      </c>
      <c r="AN116" s="881"/>
      <c r="AO116" s="882"/>
      <c r="AP116" s="870"/>
      <c r="AQ116" s="870"/>
      <c r="AR116" s="870"/>
      <c r="AS116" s="870"/>
      <c r="AT116" s="870"/>
      <c r="AU116" s="870"/>
      <c r="AV116" s="870"/>
      <c r="AW116" s="870"/>
      <c r="AX116" s="870"/>
      <c r="AY116" s="870"/>
      <c r="AZ116" s="870"/>
      <c r="BA116" s="870">
        <f t="shared" si="22"/>
        <v>0</v>
      </c>
    </row>
    <row r="117" spans="1:53" ht="18.75" x14ac:dyDescent="0.3">
      <c r="A117" s="1053">
        <v>45660</v>
      </c>
      <c r="B117" s="42" t="s">
        <v>1903</v>
      </c>
      <c r="C117" s="840" t="s">
        <v>1315</v>
      </c>
      <c r="D117" s="34" t="s">
        <v>1901</v>
      </c>
      <c r="E117" s="684">
        <v>963</v>
      </c>
      <c r="F117" s="684"/>
      <c r="G117" s="684"/>
      <c r="H117" s="684"/>
      <c r="I117" s="684"/>
      <c r="J117" s="684"/>
      <c r="K117" s="684"/>
      <c r="L117" s="684"/>
      <c r="M117" s="684"/>
      <c r="N117" s="37"/>
      <c r="O117" s="684"/>
      <c r="P117" s="37"/>
      <c r="Q117" s="684"/>
      <c r="R117" s="684"/>
      <c r="S117" s="684"/>
      <c r="T117" s="684"/>
      <c r="U117" s="37"/>
      <c r="V117" s="684"/>
      <c r="W117" s="37"/>
      <c r="X117" s="684"/>
      <c r="Y117" s="37"/>
      <c r="Z117" s="684"/>
      <c r="AA117" s="897"/>
      <c r="AB117" s="870"/>
      <c r="AC117" s="684"/>
      <c r="AD117" s="684"/>
      <c r="AE117" s="684"/>
      <c r="AF117" s="684"/>
      <c r="AG117" s="684"/>
      <c r="AH117" s="807">
        <f t="shared" si="23"/>
        <v>963</v>
      </c>
      <c r="AI117" s="940">
        <v>45677</v>
      </c>
      <c r="AJ117" s="874" t="s">
        <v>1905</v>
      </c>
      <c r="AK117" s="875">
        <v>963</v>
      </c>
      <c r="AL117" s="764"/>
      <c r="AM117" s="769">
        <f t="shared" si="24"/>
        <v>0</v>
      </c>
      <c r="AN117" s="881"/>
      <c r="AO117" s="882"/>
      <c r="AP117" s="870"/>
      <c r="AQ117" s="870"/>
      <c r="AR117" s="870"/>
      <c r="AS117" s="870"/>
      <c r="AT117" s="870"/>
      <c r="AU117" s="870"/>
      <c r="AV117" s="870"/>
      <c r="AW117" s="870"/>
      <c r="AX117" s="870"/>
      <c r="AY117" s="870"/>
      <c r="AZ117" s="870"/>
      <c r="BA117" s="870">
        <f t="shared" si="22"/>
        <v>0</v>
      </c>
    </row>
    <row r="118" spans="1:53" ht="18.75" x14ac:dyDescent="0.3">
      <c r="A118" s="1053">
        <v>45660</v>
      </c>
      <c r="B118" s="42" t="s">
        <v>1904</v>
      </c>
      <c r="C118" s="955" t="s">
        <v>1315</v>
      </c>
      <c r="D118" s="34" t="s">
        <v>1902</v>
      </c>
      <c r="E118" s="684">
        <v>3167.2</v>
      </c>
      <c r="F118" s="684"/>
      <c r="G118" s="684"/>
      <c r="H118" s="684"/>
      <c r="I118" s="684"/>
      <c r="J118" s="684"/>
      <c r="K118" s="684"/>
      <c r="L118" s="684"/>
      <c r="M118" s="684"/>
      <c r="N118" s="37"/>
      <c r="O118" s="684"/>
      <c r="P118" s="37"/>
      <c r="Q118" s="684"/>
      <c r="R118" s="684"/>
      <c r="S118" s="684"/>
      <c r="T118" s="684"/>
      <c r="U118" s="37"/>
      <c r="V118" s="684"/>
      <c r="W118" s="37"/>
      <c r="X118" s="684"/>
      <c r="Y118" s="37"/>
      <c r="Z118" s="684"/>
      <c r="AA118" s="897"/>
      <c r="AB118" s="870"/>
      <c r="AC118" s="684"/>
      <c r="AD118" s="684"/>
      <c r="AE118" s="684"/>
      <c r="AF118" s="684"/>
      <c r="AG118" s="684"/>
      <c r="AH118" s="807">
        <f t="shared" si="23"/>
        <v>3167.2</v>
      </c>
      <c r="AI118" s="940">
        <v>45687</v>
      </c>
      <c r="AJ118" s="874" t="s">
        <v>1906</v>
      </c>
      <c r="AK118" s="494">
        <v>3167.2</v>
      </c>
      <c r="AL118" s="764"/>
      <c r="AM118" s="769">
        <f t="shared" si="24"/>
        <v>0</v>
      </c>
      <c r="AN118" s="881"/>
      <c r="AO118" s="882"/>
      <c r="AP118" s="870"/>
      <c r="AQ118" s="886"/>
      <c r="AR118" s="870"/>
      <c r="AS118" s="870"/>
      <c r="AT118" s="870"/>
      <c r="AU118" s="870"/>
      <c r="AV118" s="870"/>
      <c r="AW118" s="870"/>
      <c r="AX118" s="870"/>
      <c r="AY118" s="870"/>
      <c r="AZ118" s="870"/>
      <c r="BA118" s="870">
        <f t="shared" si="22"/>
        <v>0</v>
      </c>
    </row>
    <row r="119" spans="1:53" ht="37.5" x14ac:dyDescent="0.3">
      <c r="A119" s="1053">
        <v>45663</v>
      </c>
      <c r="B119" s="42" t="s">
        <v>1908</v>
      </c>
      <c r="C119" s="955" t="s">
        <v>1714</v>
      </c>
      <c r="D119" s="34" t="s">
        <v>1907</v>
      </c>
      <c r="E119" s="684"/>
      <c r="F119" s="684"/>
      <c r="G119" s="684"/>
      <c r="H119" s="684"/>
      <c r="I119" s="684"/>
      <c r="J119" s="684"/>
      <c r="K119" s="684"/>
      <c r="L119" s="684">
        <v>210</v>
      </c>
      <c r="M119" s="684"/>
      <c r="N119" s="37"/>
      <c r="O119" s="684"/>
      <c r="P119" s="37"/>
      <c r="Q119" s="684"/>
      <c r="R119" s="684"/>
      <c r="S119" s="684"/>
      <c r="T119" s="684"/>
      <c r="U119" s="37"/>
      <c r="V119" s="684"/>
      <c r="W119" s="37"/>
      <c r="X119" s="684"/>
      <c r="Y119" s="37"/>
      <c r="Z119" s="684"/>
      <c r="AA119" s="897"/>
      <c r="AB119" s="870"/>
      <c r="AC119" s="684"/>
      <c r="AD119" s="684"/>
      <c r="AE119" s="684"/>
      <c r="AF119" s="684"/>
      <c r="AG119" s="684"/>
      <c r="AH119" s="807">
        <f t="shared" si="23"/>
        <v>210</v>
      </c>
      <c r="AI119" s="940"/>
      <c r="AJ119" s="874"/>
      <c r="AK119" s="494"/>
      <c r="AL119" s="764"/>
      <c r="AM119" s="769">
        <f t="shared" si="24"/>
        <v>210</v>
      </c>
      <c r="AN119" s="881"/>
      <c r="AO119" s="882"/>
      <c r="AP119" s="870"/>
      <c r="AQ119" s="870"/>
      <c r="AR119" s="870"/>
      <c r="AS119" s="870"/>
      <c r="AT119" s="870"/>
      <c r="AU119" s="870"/>
      <c r="AV119" s="870"/>
      <c r="AW119" s="870"/>
      <c r="AX119" s="870"/>
      <c r="AY119" s="870"/>
      <c r="AZ119" s="870"/>
      <c r="BA119" s="870">
        <f t="shared" si="22"/>
        <v>0</v>
      </c>
    </row>
    <row r="120" spans="1:53" ht="18.75" x14ac:dyDescent="0.3">
      <c r="A120" s="1053">
        <v>45664</v>
      </c>
      <c r="B120" s="42" t="s">
        <v>1937</v>
      </c>
      <c r="C120" s="955" t="s">
        <v>1932</v>
      </c>
      <c r="D120" s="34" t="s">
        <v>1933</v>
      </c>
      <c r="E120" s="684"/>
      <c r="F120" s="684"/>
      <c r="G120" s="684"/>
      <c r="H120" s="684"/>
      <c r="I120" s="684"/>
      <c r="J120" s="684"/>
      <c r="K120" s="684"/>
      <c r="L120" s="684">
        <v>1225</v>
      </c>
      <c r="M120" s="684"/>
      <c r="N120" s="37"/>
      <c r="O120" s="684"/>
      <c r="P120" s="37"/>
      <c r="Q120" s="684"/>
      <c r="R120" s="684"/>
      <c r="S120" s="684"/>
      <c r="T120" s="684"/>
      <c r="U120" s="37"/>
      <c r="V120" s="684"/>
      <c r="W120" s="37"/>
      <c r="X120" s="684"/>
      <c r="Y120" s="37"/>
      <c r="Z120" s="684"/>
      <c r="AA120" s="897"/>
      <c r="AB120" s="870"/>
      <c r="AC120" s="684"/>
      <c r="AD120" s="684"/>
      <c r="AE120" s="684"/>
      <c r="AF120" s="684"/>
      <c r="AG120" s="684"/>
      <c r="AH120" s="807">
        <f t="shared" si="23"/>
        <v>1225</v>
      </c>
      <c r="AI120" s="937"/>
      <c r="AJ120" s="876"/>
      <c r="AK120" s="494"/>
      <c r="AL120" s="764"/>
      <c r="AM120" s="769">
        <f t="shared" si="24"/>
        <v>1225</v>
      </c>
      <c r="AN120" s="881"/>
      <c r="AO120" s="882"/>
      <c r="AP120" s="870"/>
      <c r="AQ120" s="870"/>
      <c r="AR120" s="870"/>
      <c r="AS120" s="870"/>
      <c r="AT120" s="870"/>
      <c r="AU120" s="870"/>
      <c r="AV120" s="870"/>
      <c r="AW120" s="870"/>
      <c r="AX120" s="870"/>
      <c r="AY120" s="870"/>
      <c r="AZ120" s="870"/>
      <c r="BA120" s="870">
        <f t="shared" si="22"/>
        <v>0</v>
      </c>
    </row>
    <row r="121" spans="1:53" ht="37.5" x14ac:dyDescent="0.3">
      <c r="A121" s="1053">
        <v>45665</v>
      </c>
      <c r="B121" s="42" t="s">
        <v>1938</v>
      </c>
      <c r="C121" s="955" t="s">
        <v>1309</v>
      </c>
      <c r="D121" s="34" t="s">
        <v>1936</v>
      </c>
      <c r="E121" s="684"/>
      <c r="F121" s="684"/>
      <c r="G121" s="684"/>
      <c r="H121" s="684"/>
      <c r="I121" s="684"/>
      <c r="J121" s="684"/>
      <c r="K121" s="684"/>
      <c r="L121" s="684"/>
      <c r="M121" s="684"/>
      <c r="N121" s="37"/>
      <c r="O121" s="684"/>
      <c r="P121" s="37"/>
      <c r="Q121" s="684"/>
      <c r="R121" s="684"/>
      <c r="S121" s="684"/>
      <c r="T121" s="684"/>
      <c r="U121" s="37"/>
      <c r="V121" s="684"/>
      <c r="W121" s="37"/>
      <c r="X121" s="684"/>
      <c r="Y121" s="37"/>
      <c r="Z121" s="684"/>
      <c r="AA121" s="897"/>
      <c r="AB121" s="870"/>
      <c r="AC121" s="684"/>
      <c r="AD121" s="684"/>
      <c r="AE121" s="684">
        <v>192449.76</v>
      </c>
      <c r="AF121" s="684"/>
      <c r="AG121" s="684"/>
      <c r="AH121" s="1036">
        <f t="shared" si="23"/>
        <v>192449.76</v>
      </c>
      <c r="AI121" s="940"/>
      <c r="AJ121" s="874"/>
      <c r="AK121" s="494"/>
      <c r="AL121" s="764"/>
      <c r="AM121" s="769">
        <f t="shared" si="24"/>
        <v>192449.76</v>
      </c>
      <c r="AN121" s="881"/>
      <c r="AO121" s="882"/>
      <c r="AP121" s="870"/>
      <c r="AQ121" s="870"/>
      <c r="AR121" s="870"/>
      <c r="AS121" s="870"/>
      <c r="AT121" s="870"/>
      <c r="AU121" s="870"/>
      <c r="AV121" s="870"/>
      <c r="AW121" s="870"/>
      <c r="AX121" s="870"/>
      <c r="AY121" s="870"/>
      <c r="AZ121" s="870"/>
      <c r="BA121" s="870">
        <f t="shared" si="22"/>
        <v>0</v>
      </c>
    </row>
    <row r="122" spans="1:53" ht="21.75" customHeight="1" x14ac:dyDescent="0.3">
      <c r="A122" s="1053">
        <v>45665</v>
      </c>
      <c r="B122" s="42" t="s">
        <v>1939</v>
      </c>
      <c r="C122" s="955" t="s">
        <v>1309</v>
      </c>
      <c r="D122" s="34" t="s">
        <v>1934</v>
      </c>
      <c r="E122" s="684"/>
      <c r="F122" s="684"/>
      <c r="G122" s="684"/>
      <c r="H122" s="684"/>
      <c r="I122" s="684"/>
      <c r="J122" s="684"/>
      <c r="K122" s="684"/>
      <c r="L122" s="684"/>
      <c r="M122" s="684"/>
      <c r="N122" s="37"/>
      <c r="O122" s="684"/>
      <c r="P122" s="37"/>
      <c r="Q122" s="684"/>
      <c r="R122" s="684"/>
      <c r="S122" s="684"/>
      <c r="T122" s="684"/>
      <c r="U122" s="37"/>
      <c r="V122" s="684"/>
      <c r="W122" s="37"/>
      <c r="X122" s="684"/>
      <c r="Y122" s="37"/>
      <c r="Z122" s="684"/>
      <c r="AA122" s="897"/>
      <c r="AB122" s="870"/>
      <c r="AC122" s="684"/>
      <c r="AD122" s="684"/>
      <c r="AE122" s="684">
        <v>149249.99</v>
      </c>
      <c r="AF122" s="684"/>
      <c r="AG122" s="684"/>
      <c r="AH122" s="807">
        <f t="shared" si="23"/>
        <v>149249.99</v>
      </c>
      <c r="AI122" s="940"/>
      <c r="AJ122" s="874"/>
      <c r="AK122" s="494"/>
      <c r="AL122" s="764"/>
      <c r="AM122" s="769">
        <f t="shared" si="24"/>
        <v>149249.99</v>
      </c>
      <c r="AN122" s="881"/>
      <c r="AO122" s="886"/>
      <c r="AP122" s="886"/>
      <c r="AQ122" s="870"/>
      <c r="AR122" s="870"/>
      <c r="AS122" s="870"/>
      <c r="AT122" s="870"/>
      <c r="AU122" s="870"/>
      <c r="AV122" s="870"/>
      <c r="AW122" s="870"/>
      <c r="AX122" s="870"/>
      <c r="AY122" s="870"/>
      <c r="AZ122" s="870"/>
      <c r="BA122" s="870">
        <f t="shared" si="22"/>
        <v>0</v>
      </c>
    </row>
    <row r="123" spans="1:53" ht="37.5" x14ac:dyDescent="0.3">
      <c r="A123" s="1053">
        <v>45665</v>
      </c>
      <c r="B123" s="42" t="s">
        <v>1940</v>
      </c>
      <c r="C123" s="955" t="s">
        <v>1309</v>
      </c>
      <c r="D123" s="34" t="s">
        <v>1935</v>
      </c>
      <c r="E123" s="684"/>
      <c r="F123" s="684"/>
      <c r="G123" s="684"/>
      <c r="H123" s="684"/>
      <c r="I123" s="684"/>
      <c r="J123" s="684"/>
      <c r="K123" s="684"/>
      <c r="L123" s="684"/>
      <c r="M123" s="684"/>
      <c r="N123" s="37"/>
      <c r="O123" s="684"/>
      <c r="P123" s="37"/>
      <c r="Q123" s="684"/>
      <c r="R123" s="684"/>
      <c r="S123" s="684"/>
      <c r="T123" s="684"/>
      <c r="U123" s="37"/>
      <c r="V123" s="684"/>
      <c r="W123" s="37"/>
      <c r="X123" s="684"/>
      <c r="Y123" s="37"/>
      <c r="Z123" s="684"/>
      <c r="AA123" s="897"/>
      <c r="AB123" s="870"/>
      <c r="AC123" s="684"/>
      <c r="AD123" s="684"/>
      <c r="AE123" s="684">
        <v>174169.25</v>
      </c>
      <c r="AF123" s="684"/>
      <c r="AG123" s="684"/>
      <c r="AH123" s="807">
        <f t="shared" si="23"/>
        <v>174169.25</v>
      </c>
      <c r="AI123" s="937"/>
      <c r="AJ123" s="42"/>
      <c r="AK123" s="494"/>
      <c r="AL123" s="764"/>
      <c r="AM123" s="769">
        <f t="shared" si="24"/>
        <v>174169.25</v>
      </c>
      <c r="AN123" s="881"/>
      <c r="AO123" s="882"/>
      <c r="AP123" s="883"/>
      <c r="AQ123" s="883"/>
      <c r="AR123" s="883"/>
      <c r="AS123" s="883"/>
      <c r="AT123" s="883"/>
      <c r="AU123" s="883"/>
      <c r="AV123" s="883"/>
      <c r="AW123" s="883"/>
      <c r="AX123" s="883"/>
      <c r="AY123" s="883"/>
      <c r="AZ123" s="883"/>
      <c r="BA123" s="870">
        <f t="shared" si="22"/>
        <v>0</v>
      </c>
    </row>
    <row r="124" spans="1:53" ht="18.75" x14ac:dyDescent="0.3">
      <c r="A124" s="1053">
        <v>45670</v>
      </c>
      <c r="B124" s="42" t="s">
        <v>1955</v>
      </c>
      <c r="C124" s="955" t="s">
        <v>1323</v>
      </c>
      <c r="D124" s="41" t="s">
        <v>1944</v>
      </c>
      <c r="E124" s="684"/>
      <c r="F124" s="684"/>
      <c r="G124" s="684"/>
      <c r="H124" s="684"/>
      <c r="I124" s="684"/>
      <c r="J124" s="684"/>
      <c r="K124" s="684"/>
      <c r="L124" s="684">
        <v>1050</v>
      </c>
      <c r="M124" s="684"/>
      <c r="N124" s="37"/>
      <c r="O124" s="684"/>
      <c r="P124" s="37"/>
      <c r="Q124" s="684"/>
      <c r="R124" s="684"/>
      <c r="S124" s="684"/>
      <c r="T124" s="684"/>
      <c r="U124" s="37"/>
      <c r="V124" s="684"/>
      <c r="W124" s="37"/>
      <c r="X124" s="684"/>
      <c r="Y124" s="37"/>
      <c r="Z124" s="684"/>
      <c r="AA124" s="897"/>
      <c r="AB124" s="870"/>
      <c r="AC124" s="684"/>
      <c r="AD124" s="684"/>
      <c r="AE124" s="684"/>
      <c r="AF124" s="684"/>
      <c r="AG124" s="684"/>
      <c r="AH124" s="807">
        <f t="shared" si="23"/>
        <v>1050</v>
      </c>
      <c r="AI124" s="937">
        <v>45680</v>
      </c>
      <c r="AJ124" s="42" t="s">
        <v>1945</v>
      </c>
      <c r="AK124" s="494">
        <v>1050</v>
      </c>
      <c r="AL124" s="764"/>
      <c r="AM124" s="769">
        <f t="shared" si="24"/>
        <v>0</v>
      </c>
      <c r="AN124" s="881"/>
      <c r="AO124" s="882"/>
      <c r="AP124" s="883"/>
      <c r="AQ124" s="883"/>
      <c r="AR124" s="883"/>
      <c r="AS124" s="883"/>
      <c r="AT124" s="883"/>
      <c r="AU124" s="883"/>
      <c r="AV124" s="883"/>
      <c r="AW124" s="883"/>
      <c r="AX124" s="883"/>
      <c r="AY124" s="883"/>
      <c r="AZ124" s="883"/>
      <c r="BA124" s="870">
        <f t="shared" si="22"/>
        <v>0</v>
      </c>
    </row>
    <row r="125" spans="1:53" ht="19.5" customHeight="1" x14ac:dyDescent="0.3">
      <c r="A125" s="1053">
        <v>45672</v>
      </c>
      <c r="B125" s="42" t="s">
        <v>1956</v>
      </c>
      <c r="C125" s="955" t="s">
        <v>1609</v>
      </c>
      <c r="D125" s="34" t="s">
        <v>1953</v>
      </c>
      <c r="E125" s="684">
        <v>27285</v>
      </c>
      <c r="F125" s="684"/>
      <c r="G125" s="684"/>
      <c r="H125" s="684"/>
      <c r="I125" s="684"/>
      <c r="J125" s="684"/>
      <c r="K125" s="684"/>
      <c r="L125" s="684"/>
      <c r="M125" s="684"/>
      <c r="N125" s="37"/>
      <c r="O125" s="684"/>
      <c r="P125" s="37"/>
      <c r="Q125" s="684"/>
      <c r="R125" s="684"/>
      <c r="S125" s="684"/>
      <c r="T125" s="684"/>
      <c r="U125" s="37"/>
      <c r="V125" s="684"/>
      <c r="W125" s="37"/>
      <c r="X125" s="684"/>
      <c r="Y125" s="37"/>
      <c r="Z125" s="684"/>
      <c r="AA125" s="897"/>
      <c r="AB125" s="870"/>
      <c r="AC125" s="684"/>
      <c r="AD125" s="684"/>
      <c r="AE125" s="684"/>
      <c r="AF125" s="684"/>
      <c r="AG125" s="684"/>
      <c r="AH125" s="807">
        <f t="shared" si="23"/>
        <v>27285</v>
      </c>
      <c r="AI125" s="937">
        <v>45677</v>
      </c>
      <c r="AJ125" s="42" t="s">
        <v>1958</v>
      </c>
      <c r="AK125" s="494">
        <v>27285</v>
      </c>
      <c r="AL125" s="764"/>
      <c r="AM125" s="769"/>
      <c r="AN125" s="881" t="s">
        <v>1959</v>
      </c>
      <c r="AO125" s="882" t="s">
        <v>1960</v>
      </c>
      <c r="AP125" s="883"/>
      <c r="AQ125" s="883"/>
      <c r="AR125" s="883"/>
      <c r="AS125" s="883"/>
      <c r="AT125" s="883"/>
      <c r="AU125" s="883"/>
      <c r="AV125" s="883"/>
      <c r="AW125" s="883"/>
      <c r="AX125" s="883"/>
      <c r="AY125" s="883"/>
      <c r="AZ125" s="883"/>
      <c r="BA125" s="870">
        <f t="shared" si="22"/>
        <v>0</v>
      </c>
    </row>
    <row r="126" spans="1:53" ht="18.75" x14ac:dyDescent="0.3">
      <c r="A126" s="1053">
        <v>45672</v>
      </c>
      <c r="B126" s="42" t="s">
        <v>1957</v>
      </c>
      <c r="C126" s="955" t="s">
        <v>1303</v>
      </c>
      <c r="D126" s="34" t="s">
        <v>1954</v>
      </c>
      <c r="E126" s="684"/>
      <c r="F126" s="684"/>
      <c r="G126" s="684"/>
      <c r="H126" s="684"/>
      <c r="I126" s="684"/>
      <c r="J126" s="684"/>
      <c r="K126" s="684"/>
      <c r="L126" s="684"/>
      <c r="M126" s="684"/>
      <c r="N126" s="37"/>
      <c r="O126" s="684"/>
      <c r="P126" s="37">
        <v>3000</v>
      </c>
      <c r="Q126" s="684"/>
      <c r="R126" s="684"/>
      <c r="S126" s="684"/>
      <c r="T126" s="684"/>
      <c r="U126" s="37"/>
      <c r="V126" s="684"/>
      <c r="W126" s="37"/>
      <c r="X126" s="684"/>
      <c r="Y126" s="37"/>
      <c r="Z126" s="684"/>
      <c r="AA126" s="897"/>
      <c r="AB126" s="870"/>
      <c r="AC126" s="684"/>
      <c r="AD126" s="684"/>
      <c r="AE126" s="684"/>
      <c r="AF126" s="684"/>
      <c r="AG126" s="684"/>
      <c r="AH126" s="807">
        <f t="shared" si="23"/>
        <v>3000</v>
      </c>
      <c r="AI126" s="937"/>
      <c r="AJ126" s="42"/>
      <c r="AK126" s="494"/>
      <c r="AL126" s="764"/>
      <c r="AM126" s="769">
        <f t="shared" si="24"/>
        <v>3000</v>
      </c>
      <c r="AN126" s="881"/>
      <c r="AO126" s="882"/>
      <c r="AP126" s="883"/>
      <c r="AQ126" s="883"/>
      <c r="AR126" s="883"/>
      <c r="AS126" s="883"/>
      <c r="AT126" s="883"/>
      <c r="AU126" s="883"/>
      <c r="AV126" s="883"/>
      <c r="AW126" s="883"/>
      <c r="AX126" s="883"/>
      <c r="AY126" s="883"/>
      <c r="AZ126" s="883"/>
      <c r="BA126" s="870">
        <f t="shared" si="22"/>
        <v>0</v>
      </c>
    </row>
    <row r="127" spans="1:53" ht="18.75" x14ac:dyDescent="0.3">
      <c r="A127" s="1053">
        <v>45673</v>
      </c>
      <c r="B127" s="42" t="s">
        <v>1969</v>
      </c>
      <c r="C127" s="955" t="s">
        <v>1971</v>
      </c>
      <c r="D127" s="34" t="s">
        <v>1968</v>
      </c>
      <c r="E127" s="684"/>
      <c r="F127" s="684"/>
      <c r="G127" s="684"/>
      <c r="H127" s="684"/>
      <c r="I127" s="684"/>
      <c r="J127" s="684"/>
      <c r="K127" s="684"/>
      <c r="L127" s="684">
        <v>5000</v>
      </c>
      <c r="M127" s="684"/>
      <c r="N127" s="37"/>
      <c r="O127" s="684"/>
      <c r="P127" s="37"/>
      <c r="Q127" s="684"/>
      <c r="R127" s="684"/>
      <c r="S127" s="684"/>
      <c r="T127" s="684"/>
      <c r="U127" s="37"/>
      <c r="V127" s="684"/>
      <c r="W127" s="37"/>
      <c r="X127" s="684"/>
      <c r="Y127" s="37"/>
      <c r="Z127" s="684"/>
      <c r="AA127" s="897"/>
      <c r="AB127" s="870"/>
      <c r="AC127" s="684"/>
      <c r="AD127" s="684"/>
      <c r="AE127" s="684"/>
      <c r="AF127" s="684"/>
      <c r="AG127" s="684"/>
      <c r="AH127" s="807">
        <f t="shared" si="23"/>
        <v>5000</v>
      </c>
      <c r="AI127" s="937"/>
      <c r="AJ127" s="42"/>
      <c r="AK127" s="494"/>
      <c r="AL127" s="764"/>
      <c r="AM127" s="769">
        <f t="shared" si="24"/>
        <v>5000</v>
      </c>
      <c r="AN127" s="881"/>
      <c r="AO127" s="882"/>
      <c r="AP127" s="883"/>
      <c r="AQ127" s="883"/>
      <c r="AR127" s="883"/>
      <c r="AS127" s="883"/>
      <c r="AT127" s="883"/>
      <c r="AU127" s="883"/>
      <c r="AV127" s="883"/>
      <c r="AW127" s="883"/>
      <c r="AX127" s="883"/>
      <c r="AY127" s="883"/>
      <c r="AZ127" s="883"/>
      <c r="BA127" s="870">
        <f t="shared" si="22"/>
        <v>0</v>
      </c>
    </row>
    <row r="128" spans="1:53" ht="56.25" x14ac:dyDescent="0.3">
      <c r="A128" s="1053">
        <v>45674</v>
      </c>
      <c r="B128" s="42" t="s">
        <v>1973</v>
      </c>
      <c r="C128" s="955" t="s">
        <v>1370</v>
      </c>
      <c r="D128" s="775" t="s">
        <v>1970</v>
      </c>
      <c r="E128" s="684"/>
      <c r="F128" s="684"/>
      <c r="G128" s="684"/>
      <c r="H128" s="684"/>
      <c r="I128" s="1078"/>
      <c r="J128" s="684"/>
      <c r="K128" s="684"/>
      <c r="L128" s="684"/>
      <c r="M128" s="684"/>
      <c r="N128" s="37"/>
      <c r="O128" s="684">
        <v>525</v>
      </c>
      <c r="P128" s="37"/>
      <c r="Q128" s="684"/>
      <c r="R128" s="684"/>
      <c r="S128" s="684"/>
      <c r="T128" s="684"/>
      <c r="U128" s="37"/>
      <c r="V128" s="684"/>
      <c r="W128" s="37"/>
      <c r="X128" s="684"/>
      <c r="Y128" s="37"/>
      <c r="Z128" s="684"/>
      <c r="AA128" s="897"/>
      <c r="AB128" s="870"/>
      <c r="AC128" s="684"/>
      <c r="AD128" s="684"/>
      <c r="AE128" s="684"/>
      <c r="AF128" s="684"/>
      <c r="AG128" s="684"/>
      <c r="AH128" s="807">
        <f t="shared" si="23"/>
        <v>525</v>
      </c>
      <c r="AI128" s="937">
        <v>45677</v>
      </c>
      <c r="AJ128" s="42" t="s">
        <v>1972</v>
      </c>
      <c r="AK128" s="494">
        <v>525</v>
      </c>
      <c r="AL128" s="764"/>
      <c r="AM128" s="769">
        <f t="shared" si="24"/>
        <v>0</v>
      </c>
      <c r="AN128" s="881"/>
      <c r="AO128" s="882"/>
      <c r="AP128" s="883"/>
      <c r="AQ128" s="883"/>
      <c r="AR128" s="883"/>
      <c r="AS128" s="883"/>
      <c r="AT128" s="883"/>
      <c r="AU128" s="883"/>
      <c r="AV128" s="883"/>
      <c r="AW128" s="883"/>
      <c r="AX128" s="883"/>
      <c r="AY128" s="883"/>
      <c r="AZ128" s="883"/>
      <c r="BA128" s="870">
        <f t="shared" si="22"/>
        <v>0</v>
      </c>
    </row>
    <row r="129" spans="1:53" ht="37.5" x14ac:dyDescent="0.3">
      <c r="A129" s="1053">
        <v>45678</v>
      </c>
      <c r="B129" s="42" t="s">
        <v>1990</v>
      </c>
      <c r="C129" s="955" t="s">
        <v>1988</v>
      </c>
      <c r="D129" s="775" t="s">
        <v>1989</v>
      </c>
      <c r="E129" s="684"/>
      <c r="F129" s="684"/>
      <c r="G129" s="684"/>
      <c r="H129" s="684"/>
      <c r="I129" s="684"/>
      <c r="J129" s="684"/>
      <c r="K129" s="684"/>
      <c r="L129" s="684"/>
      <c r="M129" s="684"/>
      <c r="N129" s="37"/>
      <c r="O129" s="684"/>
      <c r="P129" s="37">
        <v>2000</v>
      </c>
      <c r="Q129" s="684"/>
      <c r="R129" s="684"/>
      <c r="S129" s="684"/>
      <c r="T129" s="684"/>
      <c r="U129" s="37"/>
      <c r="V129" s="684"/>
      <c r="W129" s="37"/>
      <c r="X129" s="684"/>
      <c r="Y129" s="37"/>
      <c r="Z129" s="684"/>
      <c r="AA129" s="897"/>
      <c r="AB129" s="870"/>
      <c r="AC129" s="684"/>
      <c r="AD129" s="684"/>
      <c r="AE129" s="684"/>
      <c r="AF129" s="684"/>
      <c r="AG129" s="684"/>
      <c r="AH129" s="807">
        <f t="shared" si="23"/>
        <v>2000</v>
      </c>
      <c r="AI129" s="937"/>
      <c r="AJ129" s="42"/>
      <c r="AK129" s="494"/>
      <c r="AL129" s="764"/>
      <c r="AM129" s="769">
        <f t="shared" si="24"/>
        <v>2000</v>
      </c>
      <c r="AN129" s="881"/>
      <c r="AO129" s="882"/>
      <c r="AP129" s="883"/>
      <c r="AQ129" s="883"/>
      <c r="AR129" s="883"/>
      <c r="AS129" s="883"/>
      <c r="AT129" s="883"/>
      <c r="AU129" s="883"/>
      <c r="AV129" s="883"/>
      <c r="AW129" s="883"/>
      <c r="AX129" s="883"/>
      <c r="AY129" s="883"/>
      <c r="AZ129" s="883"/>
      <c r="BA129" s="870">
        <f t="shared" si="22"/>
        <v>0</v>
      </c>
    </row>
    <row r="130" spans="1:53" ht="18.75" x14ac:dyDescent="0.3">
      <c r="A130" s="1053">
        <v>45678</v>
      </c>
      <c r="B130" s="42" t="s">
        <v>1992</v>
      </c>
      <c r="C130" s="955" t="s">
        <v>1977</v>
      </c>
      <c r="D130" s="666" t="s">
        <v>1991</v>
      </c>
      <c r="E130" s="684"/>
      <c r="F130" s="684"/>
      <c r="G130" s="684"/>
      <c r="H130" s="684"/>
      <c r="I130" s="684"/>
      <c r="J130" s="684"/>
      <c r="K130" s="684"/>
      <c r="L130" s="684">
        <v>350</v>
      </c>
      <c r="M130" s="684"/>
      <c r="N130" s="37"/>
      <c r="O130" s="684"/>
      <c r="P130" s="37"/>
      <c r="Q130" s="684"/>
      <c r="R130" s="684"/>
      <c r="S130" s="684"/>
      <c r="T130" s="684"/>
      <c r="U130" s="37"/>
      <c r="V130" s="684"/>
      <c r="W130" s="37"/>
      <c r="X130" s="684"/>
      <c r="Y130" s="37"/>
      <c r="Z130" s="684"/>
      <c r="AA130" s="897"/>
      <c r="AB130" s="870"/>
      <c r="AC130" s="684"/>
      <c r="AD130" s="684"/>
      <c r="AE130" s="684"/>
      <c r="AF130" s="684"/>
      <c r="AG130" s="684"/>
      <c r="AH130" s="807">
        <f t="shared" si="23"/>
        <v>350</v>
      </c>
      <c r="AI130" s="937"/>
      <c r="AJ130" s="42"/>
      <c r="AK130" s="494"/>
      <c r="AL130" s="764"/>
      <c r="AM130" s="769">
        <f t="shared" si="24"/>
        <v>350</v>
      </c>
      <c r="AN130" s="881"/>
      <c r="AO130" s="882"/>
      <c r="AP130" s="883"/>
      <c r="AQ130" s="883"/>
      <c r="AR130" s="883"/>
      <c r="AS130" s="883"/>
      <c r="AT130" s="883"/>
      <c r="AU130" s="883"/>
      <c r="AV130" s="883"/>
      <c r="AW130" s="883"/>
      <c r="AX130" s="883"/>
      <c r="AY130" s="883"/>
      <c r="AZ130" s="883"/>
      <c r="BA130" s="870">
        <f t="shared" si="22"/>
        <v>0</v>
      </c>
    </row>
    <row r="131" spans="1:53" ht="37.5" x14ac:dyDescent="0.3">
      <c r="A131" s="1053">
        <v>45679</v>
      </c>
      <c r="B131" s="42" t="s">
        <v>2000</v>
      </c>
      <c r="C131" s="955" t="s">
        <v>1999</v>
      </c>
      <c r="D131" s="775" t="s">
        <v>2001</v>
      </c>
      <c r="E131" s="684"/>
      <c r="F131" s="684"/>
      <c r="G131" s="684"/>
      <c r="H131" s="684"/>
      <c r="I131" s="684"/>
      <c r="J131" s="684"/>
      <c r="K131" s="684"/>
      <c r="L131" s="684">
        <v>700</v>
      </c>
      <c r="M131" s="1057"/>
      <c r="N131" s="37"/>
      <c r="O131" s="684"/>
      <c r="P131" s="37"/>
      <c r="Q131" s="684"/>
      <c r="R131" s="684"/>
      <c r="S131" s="684"/>
      <c r="T131" s="684"/>
      <c r="U131" s="37"/>
      <c r="V131" s="684"/>
      <c r="W131" s="37"/>
      <c r="X131" s="684"/>
      <c r="Y131" s="37"/>
      <c r="Z131" s="684"/>
      <c r="AA131" s="897"/>
      <c r="AB131" s="870"/>
      <c r="AC131" s="684"/>
      <c r="AD131" s="684"/>
      <c r="AE131" s="684"/>
      <c r="AF131" s="684"/>
      <c r="AG131" s="684"/>
      <c r="AH131" s="807">
        <f t="shared" si="23"/>
        <v>700</v>
      </c>
      <c r="AI131" s="937"/>
      <c r="AJ131" s="42"/>
      <c r="AK131" s="494"/>
      <c r="AL131" s="764"/>
      <c r="AM131" s="769">
        <f t="shared" si="24"/>
        <v>700</v>
      </c>
      <c r="AN131" s="881"/>
      <c r="AO131" s="882"/>
      <c r="AP131" s="883"/>
      <c r="AQ131" s="883"/>
      <c r="AR131" s="883"/>
      <c r="AS131" s="883"/>
      <c r="AT131" s="883"/>
      <c r="AU131" s="883"/>
      <c r="AV131" s="883"/>
      <c r="AW131" s="883"/>
      <c r="AX131" s="883"/>
      <c r="AY131" s="883"/>
      <c r="AZ131" s="883"/>
      <c r="BA131" s="870">
        <f t="shared" si="22"/>
        <v>0</v>
      </c>
    </row>
    <row r="132" spans="1:53" s="1178" customFormat="1" ht="18.75" x14ac:dyDescent="0.3">
      <c r="A132" s="1053">
        <v>45684</v>
      </c>
      <c r="B132" s="42" t="s">
        <v>2009</v>
      </c>
      <c r="C132" s="955" t="s">
        <v>1977</v>
      </c>
      <c r="D132" s="666" t="s">
        <v>2007</v>
      </c>
      <c r="E132" s="684"/>
      <c r="F132" s="684"/>
      <c r="G132" s="684"/>
      <c r="H132" s="684"/>
      <c r="I132" s="684"/>
      <c r="J132" s="684"/>
      <c r="K132" s="684"/>
      <c r="L132" s="1057"/>
      <c r="M132" s="684"/>
      <c r="N132" s="37"/>
      <c r="O132" s="684"/>
      <c r="P132" s="37"/>
      <c r="Q132" s="684"/>
      <c r="R132" s="684"/>
      <c r="S132" s="684"/>
      <c r="T132" s="684"/>
      <c r="U132" s="37"/>
      <c r="V132" s="684"/>
      <c r="W132" s="37"/>
      <c r="X132" s="684"/>
      <c r="Y132" s="37"/>
      <c r="Z132" s="684"/>
      <c r="AA132" s="897"/>
      <c r="AB132" s="870"/>
      <c r="AC132" s="684"/>
      <c r="AD132" s="684"/>
      <c r="AE132" s="684"/>
      <c r="AF132" s="684"/>
      <c r="AG132" s="684"/>
      <c r="AH132" s="807">
        <f t="shared" ref="AH132:AH140" si="25">SUM(E132:AG132)</f>
        <v>0</v>
      </c>
      <c r="AI132" s="937"/>
      <c r="AJ132" s="42"/>
      <c r="AK132" s="494"/>
      <c r="AL132" s="764"/>
      <c r="AM132" s="769">
        <f t="shared" ref="AM132:AM140" si="26">AH132-AK132-AL132</f>
        <v>0</v>
      </c>
      <c r="AN132" s="881"/>
      <c r="AO132" s="882"/>
      <c r="AP132" s="883"/>
      <c r="AQ132" s="883"/>
      <c r="AR132" s="883"/>
      <c r="AS132" s="883"/>
      <c r="AT132" s="883"/>
      <c r="AU132" s="883"/>
      <c r="AV132" s="883"/>
      <c r="AW132" s="883"/>
      <c r="AX132" s="883"/>
      <c r="AY132" s="883"/>
      <c r="AZ132" s="883"/>
      <c r="BA132" s="870">
        <f t="shared" ref="BA132:BA140" si="27">SUM(AO132:AZ132)</f>
        <v>0</v>
      </c>
    </row>
    <row r="133" spans="1:53" s="1178" customFormat="1" ht="18.75" x14ac:dyDescent="0.3">
      <c r="A133" s="1053">
        <v>45684</v>
      </c>
      <c r="B133" s="42" t="s">
        <v>2010</v>
      </c>
      <c r="C133" s="955" t="s">
        <v>1984</v>
      </c>
      <c r="D133" s="666" t="s">
        <v>2008</v>
      </c>
      <c r="E133" s="684"/>
      <c r="F133" s="684"/>
      <c r="G133" s="684"/>
      <c r="H133" s="684"/>
      <c r="I133" s="684"/>
      <c r="J133" s="684"/>
      <c r="K133" s="684"/>
      <c r="L133" s="1057"/>
      <c r="M133" s="684"/>
      <c r="N133" s="37"/>
      <c r="O133" s="684"/>
      <c r="P133" s="37"/>
      <c r="Q133" s="684"/>
      <c r="R133" s="684"/>
      <c r="S133" s="684"/>
      <c r="T133" s="684"/>
      <c r="U133" s="37"/>
      <c r="V133" s="684"/>
      <c r="W133" s="37"/>
      <c r="X133" s="684"/>
      <c r="Y133" s="37"/>
      <c r="Z133" s="684"/>
      <c r="AA133" s="897"/>
      <c r="AB133" s="870"/>
      <c r="AC133" s="684"/>
      <c r="AD133" s="684"/>
      <c r="AE133" s="684"/>
      <c r="AF133" s="684"/>
      <c r="AG133" s="684"/>
      <c r="AH133" s="807">
        <f t="shared" ref="AH133:AH134" si="28">SUM(E133:AG133)</f>
        <v>0</v>
      </c>
      <c r="AI133" s="937"/>
      <c r="AJ133" s="42"/>
      <c r="AK133" s="494"/>
      <c r="AL133" s="764"/>
      <c r="AM133" s="769">
        <f t="shared" ref="AM133:AM134" si="29">AH133-AK133-AL133</f>
        <v>0</v>
      </c>
      <c r="AN133" s="881"/>
      <c r="AO133" s="882"/>
      <c r="AP133" s="883"/>
      <c r="AQ133" s="883"/>
      <c r="AR133" s="883"/>
      <c r="AS133" s="883"/>
      <c r="AT133" s="883"/>
      <c r="AU133" s="883"/>
      <c r="AV133" s="883"/>
      <c r="AW133" s="883"/>
      <c r="AX133" s="883"/>
      <c r="AY133" s="883"/>
      <c r="AZ133" s="883"/>
      <c r="BA133" s="870">
        <f t="shared" ref="BA133:BA134" si="30">SUM(AO133:AZ133)</f>
        <v>0</v>
      </c>
    </row>
    <row r="134" spans="1:53" s="1178" customFormat="1" ht="18.75" x14ac:dyDescent="0.3">
      <c r="A134" s="1053">
        <v>45685</v>
      </c>
      <c r="B134" s="42" t="s">
        <v>2017</v>
      </c>
      <c r="C134" s="955" t="s">
        <v>2015</v>
      </c>
      <c r="D134" s="666" t="s">
        <v>2016</v>
      </c>
      <c r="E134" s="684">
        <v>4280</v>
      </c>
      <c r="F134" s="684"/>
      <c r="G134" s="684"/>
      <c r="H134" s="684"/>
      <c r="I134" s="684"/>
      <c r="J134" s="684"/>
      <c r="K134" s="684"/>
      <c r="L134" s="1057"/>
      <c r="M134" s="684"/>
      <c r="N134" s="37"/>
      <c r="O134" s="684"/>
      <c r="P134" s="37"/>
      <c r="Q134" s="684"/>
      <c r="R134" s="684"/>
      <c r="S134" s="684"/>
      <c r="T134" s="684"/>
      <c r="U134" s="37"/>
      <c r="V134" s="684"/>
      <c r="W134" s="37"/>
      <c r="X134" s="684"/>
      <c r="Y134" s="37"/>
      <c r="Z134" s="684"/>
      <c r="AA134" s="897"/>
      <c r="AB134" s="870"/>
      <c r="AC134" s="684"/>
      <c r="AD134" s="684"/>
      <c r="AE134" s="684"/>
      <c r="AF134" s="684"/>
      <c r="AG134" s="684"/>
      <c r="AH134" s="807">
        <f t="shared" si="28"/>
        <v>4280</v>
      </c>
      <c r="AI134" s="937"/>
      <c r="AJ134" s="42"/>
      <c r="AK134" s="494"/>
      <c r="AL134" s="764"/>
      <c r="AM134" s="769">
        <f t="shared" si="29"/>
        <v>4280</v>
      </c>
      <c r="AN134" s="881"/>
      <c r="AO134" s="882"/>
      <c r="AP134" s="883"/>
      <c r="AQ134" s="883"/>
      <c r="AR134" s="883"/>
      <c r="AS134" s="883"/>
      <c r="AT134" s="883"/>
      <c r="AU134" s="883"/>
      <c r="AV134" s="883"/>
      <c r="AW134" s="883"/>
      <c r="AX134" s="883"/>
      <c r="AY134" s="883"/>
      <c r="AZ134" s="883"/>
      <c r="BA134" s="870">
        <f t="shared" si="30"/>
        <v>0</v>
      </c>
    </row>
    <row r="135" spans="1:53" s="1178" customFormat="1" ht="37.5" x14ac:dyDescent="0.3">
      <c r="A135" s="1053">
        <v>45685</v>
      </c>
      <c r="B135" s="42" t="s">
        <v>2025</v>
      </c>
      <c r="C135" s="840" t="s">
        <v>2023</v>
      </c>
      <c r="D135" s="775" t="s">
        <v>2026</v>
      </c>
      <c r="E135" s="1058"/>
      <c r="F135" s="1058"/>
      <c r="G135" s="1058"/>
      <c r="H135" s="1058"/>
      <c r="I135" s="1058"/>
      <c r="J135" s="1058"/>
      <c r="K135" s="1058"/>
      <c r="L135" s="1058">
        <v>50</v>
      </c>
      <c r="M135" s="1058"/>
      <c r="N135" s="37"/>
      <c r="O135" s="684"/>
      <c r="P135" s="37"/>
      <c r="Q135" s="684"/>
      <c r="R135" s="684"/>
      <c r="S135" s="684"/>
      <c r="T135" s="684"/>
      <c r="U135" s="37"/>
      <c r="V135" s="684"/>
      <c r="W135" s="37"/>
      <c r="X135" s="684"/>
      <c r="Y135" s="37"/>
      <c r="Z135" s="684"/>
      <c r="AA135" s="897"/>
      <c r="AB135" s="870"/>
      <c r="AC135" s="684"/>
      <c r="AD135" s="684"/>
      <c r="AE135" s="684"/>
      <c r="AF135" s="684"/>
      <c r="AG135" s="684"/>
      <c r="AH135" s="807">
        <f t="shared" si="25"/>
        <v>50</v>
      </c>
      <c r="AI135" s="937"/>
      <c r="AJ135" s="42"/>
      <c r="AK135" s="494"/>
      <c r="AL135" s="764"/>
      <c r="AM135" s="769">
        <f t="shared" si="26"/>
        <v>50</v>
      </c>
      <c r="AN135" s="881"/>
      <c r="AO135" s="882"/>
      <c r="AP135" s="883"/>
      <c r="AQ135" s="883"/>
      <c r="AR135" s="883"/>
      <c r="AS135" s="883"/>
      <c r="AT135" s="883"/>
      <c r="AU135" s="883"/>
      <c r="AV135" s="883"/>
      <c r="AW135" s="883"/>
      <c r="AX135" s="883"/>
      <c r="AY135" s="883"/>
      <c r="AZ135" s="883"/>
      <c r="BA135" s="870">
        <f t="shared" si="27"/>
        <v>0</v>
      </c>
    </row>
    <row r="136" spans="1:53" s="1178" customFormat="1" ht="37.5" x14ac:dyDescent="0.3">
      <c r="A136" s="1053">
        <v>45685</v>
      </c>
      <c r="B136" s="42" t="s">
        <v>2030</v>
      </c>
      <c r="C136" s="840" t="s">
        <v>1609</v>
      </c>
      <c r="D136" s="775" t="s">
        <v>2027</v>
      </c>
      <c r="E136" s="1058"/>
      <c r="F136" s="1058"/>
      <c r="G136" s="1058"/>
      <c r="H136" s="1058"/>
      <c r="I136" s="1058"/>
      <c r="J136" s="1058"/>
      <c r="K136" s="1058"/>
      <c r="L136" s="1058"/>
      <c r="M136" s="1058"/>
      <c r="N136" s="37"/>
      <c r="O136" s="684"/>
      <c r="P136" s="37"/>
      <c r="Q136" s="684"/>
      <c r="R136" s="684"/>
      <c r="S136" s="684"/>
      <c r="T136" s="684"/>
      <c r="U136" s="37"/>
      <c r="V136" s="684"/>
      <c r="W136" s="37">
        <v>1617840</v>
      </c>
      <c r="X136" s="684"/>
      <c r="Y136" s="37"/>
      <c r="Z136" s="684"/>
      <c r="AA136" s="897"/>
      <c r="AB136" s="870"/>
      <c r="AC136" s="684"/>
      <c r="AD136" s="684"/>
      <c r="AE136" s="684"/>
      <c r="AF136" s="684"/>
      <c r="AG136" s="684"/>
      <c r="AH136" s="807">
        <f t="shared" ref="AH136:AH138" si="31">SUM(E136:AG136)</f>
        <v>1617840</v>
      </c>
      <c r="AI136" s="937"/>
      <c r="AJ136" s="42"/>
      <c r="AK136" s="494"/>
      <c r="AL136" s="764"/>
      <c r="AM136" s="769">
        <f t="shared" ref="AM136:AM138" si="32">AH136-AK136-AL136</f>
        <v>1617840</v>
      </c>
      <c r="AN136" s="881"/>
      <c r="AO136" s="882"/>
      <c r="AP136" s="883"/>
      <c r="AQ136" s="883"/>
      <c r="AR136" s="883"/>
      <c r="AS136" s="883"/>
      <c r="AT136" s="883"/>
      <c r="AU136" s="883"/>
      <c r="AV136" s="883"/>
      <c r="AW136" s="883"/>
      <c r="AX136" s="883"/>
      <c r="AY136" s="883"/>
      <c r="AZ136" s="883"/>
      <c r="BA136" s="870">
        <f t="shared" ref="BA136:BA138" si="33">SUM(AO136:AZ136)</f>
        <v>0</v>
      </c>
    </row>
    <row r="137" spans="1:53" s="1178" customFormat="1" ht="37.5" x14ac:dyDescent="0.3">
      <c r="A137" s="1053">
        <v>45686</v>
      </c>
      <c r="B137" s="42" t="s">
        <v>2031</v>
      </c>
      <c r="C137" s="840" t="s">
        <v>1402</v>
      </c>
      <c r="D137" s="775" t="s">
        <v>2029</v>
      </c>
      <c r="E137" s="1058"/>
      <c r="F137" s="1058"/>
      <c r="G137" s="1058"/>
      <c r="H137" s="1058"/>
      <c r="I137" s="1058"/>
      <c r="J137" s="1058"/>
      <c r="K137" s="1058"/>
      <c r="L137" s="1058"/>
      <c r="M137" s="1058"/>
      <c r="N137" s="37"/>
      <c r="O137" s="684"/>
      <c r="P137" s="37">
        <v>1000</v>
      </c>
      <c r="Q137" s="684"/>
      <c r="R137" s="684"/>
      <c r="S137" s="684"/>
      <c r="T137" s="684"/>
      <c r="U137" s="37"/>
      <c r="V137" s="684"/>
      <c r="W137" s="37"/>
      <c r="X137" s="684"/>
      <c r="Y137" s="37"/>
      <c r="Z137" s="684"/>
      <c r="AA137" s="897"/>
      <c r="AB137" s="870"/>
      <c r="AC137" s="684"/>
      <c r="AD137" s="684"/>
      <c r="AE137" s="684"/>
      <c r="AF137" s="684"/>
      <c r="AG137" s="684"/>
      <c r="AH137" s="807">
        <f t="shared" si="31"/>
        <v>1000</v>
      </c>
      <c r="AI137" s="937"/>
      <c r="AJ137" s="42"/>
      <c r="AK137" s="494"/>
      <c r="AL137" s="764"/>
      <c r="AM137" s="769">
        <f t="shared" si="32"/>
        <v>1000</v>
      </c>
      <c r="AN137" s="881"/>
      <c r="AO137" s="882"/>
      <c r="AP137" s="883"/>
      <c r="AQ137" s="883"/>
      <c r="AR137" s="883"/>
      <c r="AS137" s="883"/>
      <c r="AT137" s="883"/>
      <c r="AU137" s="883"/>
      <c r="AV137" s="883"/>
      <c r="AW137" s="883"/>
      <c r="AX137" s="883"/>
      <c r="AY137" s="883"/>
      <c r="AZ137" s="883"/>
      <c r="BA137" s="870">
        <f t="shared" si="33"/>
        <v>0</v>
      </c>
    </row>
    <row r="138" spans="1:53" s="1178" customFormat="1" ht="18.75" x14ac:dyDescent="0.3">
      <c r="A138" s="1053">
        <v>45686</v>
      </c>
      <c r="B138" s="42" t="s">
        <v>2032</v>
      </c>
      <c r="C138" s="840" t="s">
        <v>1303</v>
      </c>
      <c r="D138" s="775" t="s">
        <v>2028</v>
      </c>
      <c r="E138" s="1058"/>
      <c r="F138" s="1058"/>
      <c r="G138" s="1058"/>
      <c r="H138" s="1058"/>
      <c r="I138" s="1058"/>
      <c r="J138" s="1058"/>
      <c r="K138" s="1058"/>
      <c r="L138" s="1058"/>
      <c r="M138" s="1058"/>
      <c r="N138" s="37"/>
      <c r="O138" s="684"/>
      <c r="P138" s="37">
        <v>3000</v>
      </c>
      <c r="Q138" s="684"/>
      <c r="R138" s="684"/>
      <c r="S138" s="684"/>
      <c r="T138" s="684"/>
      <c r="U138" s="37"/>
      <c r="V138" s="684"/>
      <c r="W138" s="37"/>
      <c r="X138" s="684"/>
      <c r="Y138" s="37"/>
      <c r="Z138" s="684"/>
      <c r="AA138" s="897"/>
      <c r="AB138" s="870"/>
      <c r="AC138" s="684"/>
      <c r="AD138" s="684"/>
      <c r="AE138" s="684"/>
      <c r="AF138" s="684"/>
      <c r="AG138" s="684"/>
      <c r="AH138" s="807">
        <f t="shared" si="31"/>
        <v>3000</v>
      </c>
      <c r="AI138" s="937"/>
      <c r="AJ138" s="42"/>
      <c r="AK138" s="494"/>
      <c r="AL138" s="764"/>
      <c r="AM138" s="769">
        <f t="shared" si="32"/>
        <v>3000</v>
      </c>
      <c r="AN138" s="881"/>
      <c r="AO138" s="882"/>
      <c r="AP138" s="883"/>
      <c r="AQ138" s="883"/>
      <c r="AR138" s="883"/>
      <c r="AS138" s="883"/>
      <c r="AT138" s="883"/>
      <c r="AU138" s="883"/>
      <c r="AV138" s="883"/>
      <c r="AW138" s="883"/>
      <c r="AX138" s="883"/>
      <c r="AY138" s="883"/>
      <c r="AZ138" s="883"/>
      <c r="BA138" s="870">
        <f t="shared" si="33"/>
        <v>0</v>
      </c>
    </row>
    <row r="139" spans="1:53" s="1178" customFormat="1" ht="37.5" x14ac:dyDescent="0.3">
      <c r="A139" s="1053">
        <v>45687</v>
      </c>
      <c r="B139" s="42" t="s">
        <v>2042</v>
      </c>
      <c r="C139" s="955" t="s">
        <v>2038</v>
      </c>
      <c r="D139" s="775" t="s">
        <v>2039</v>
      </c>
      <c r="E139" s="1058"/>
      <c r="F139" s="1058"/>
      <c r="G139" s="1058"/>
      <c r="H139" s="1058"/>
      <c r="I139" s="1058"/>
      <c r="J139" s="1058"/>
      <c r="K139" s="1058"/>
      <c r="L139" s="1058"/>
      <c r="M139" s="1058"/>
      <c r="N139" s="37"/>
      <c r="O139" s="684"/>
      <c r="P139" s="37">
        <v>6000</v>
      </c>
      <c r="Q139" s="684"/>
      <c r="R139" s="684"/>
      <c r="S139" s="684"/>
      <c r="T139" s="684"/>
      <c r="U139" s="37"/>
      <c r="V139" s="684"/>
      <c r="W139" s="37"/>
      <c r="X139" s="684"/>
      <c r="Y139" s="37"/>
      <c r="Z139" s="684"/>
      <c r="AA139" s="897"/>
      <c r="AB139" s="870"/>
      <c r="AC139" s="684"/>
      <c r="AD139" s="684"/>
      <c r="AE139" s="684"/>
      <c r="AF139" s="684"/>
      <c r="AG139" s="684"/>
      <c r="AH139" s="807">
        <f t="shared" ref="AH139" si="34">SUM(E139:AG139)</f>
        <v>6000</v>
      </c>
      <c r="AI139" s="937"/>
      <c r="AJ139" s="42"/>
      <c r="AK139" s="494"/>
      <c r="AL139" s="764"/>
      <c r="AM139" s="769">
        <f t="shared" ref="AM139" si="35">AH139-AK139-AL139</f>
        <v>6000</v>
      </c>
      <c r="AN139" s="881"/>
      <c r="AO139" s="882"/>
      <c r="AP139" s="883"/>
      <c r="AQ139" s="883"/>
      <c r="AR139" s="883"/>
      <c r="AS139" s="883"/>
      <c r="AT139" s="883"/>
      <c r="AU139" s="883"/>
      <c r="AV139" s="883"/>
      <c r="AW139" s="883"/>
      <c r="AX139" s="883"/>
      <c r="AY139" s="883"/>
      <c r="AZ139" s="883"/>
      <c r="BA139" s="870">
        <f t="shared" ref="BA139" si="36">SUM(AO139:AZ139)</f>
        <v>0</v>
      </c>
    </row>
    <row r="140" spans="1:53" s="1178" customFormat="1" ht="37.5" x14ac:dyDescent="0.3">
      <c r="A140" s="1053">
        <v>45688</v>
      </c>
      <c r="B140" s="42" t="s">
        <v>2043</v>
      </c>
      <c r="C140" s="955" t="s">
        <v>2040</v>
      </c>
      <c r="D140" s="775" t="s">
        <v>2041</v>
      </c>
      <c r="E140" s="1058"/>
      <c r="F140" s="1058"/>
      <c r="G140" s="1058">
        <v>1805</v>
      </c>
      <c r="H140" s="1058"/>
      <c r="I140" s="1058"/>
      <c r="J140" s="1058"/>
      <c r="K140" s="1058"/>
      <c r="L140" s="1058"/>
      <c r="M140" s="1058"/>
      <c r="N140" s="37"/>
      <c r="O140" s="684"/>
      <c r="P140" s="37"/>
      <c r="Q140" s="684"/>
      <c r="R140" s="684"/>
      <c r="S140" s="684"/>
      <c r="T140" s="684"/>
      <c r="U140" s="37"/>
      <c r="V140" s="684"/>
      <c r="W140" s="37"/>
      <c r="X140" s="684"/>
      <c r="Y140" s="37"/>
      <c r="Z140" s="684"/>
      <c r="AA140" s="897"/>
      <c r="AB140" s="870"/>
      <c r="AC140" s="684"/>
      <c r="AD140" s="684"/>
      <c r="AE140" s="684"/>
      <c r="AF140" s="684"/>
      <c r="AG140" s="684"/>
      <c r="AH140" s="807">
        <f t="shared" si="25"/>
        <v>1805</v>
      </c>
      <c r="AI140" s="937"/>
      <c r="AJ140" s="42"/>
      <c r="AK140" s="494"/>
      <c r="AL140" s="764"/>
      <c r="AM140" s="769">
        <f t="shared" si="26"/>
        <v>1805</v>
      </c>
      <c r="AN140" s="881"/>
      <c r="AO140" s="882"/>
      <c r="AP140" s="883"/>
      <c r="AQ140" s="883"/>
      <c r="AR140" s="883"/>
      <c r="AS140" s="883"/>
      <c r="AT140" s="883"/>
      <c r="AU140" s="883"/>
      <c r="AV140" s="883"/>
      <c r="AW140" s="883"/>
      <c r="AX140" s="883"/>
      <c r="AY140" s="883"/>
      <c r="AZ140" s="883"/>
      <c r="BA140" s="870">
        <f t="shared" si="27"/>
        <v>0</v>
      </c>
    </row>
    <row r="141" spans="1:53" ht="18.75" x14ac:dyDescent="0.3">
      <c r="A141" s="1079"/>
      <c r="B141" s="171"/>
      <c r="C141" s="955"/>
      <c r="D141" s="666"/>
      <c r="E141" s="1058"/>
      <c r="F141" s="1058"/>
      <c r="G141" s="1058"/>
      <c r="H141" s="1058"/>
      <c r="I141" s="1058"/>
      <c r="J141" s="1058"/>
      <c r="K141" s="1058"/>
      <c r="L141" s="1058"/>
      <c r="M141" s="1058"/>
      <c r="N141" s="37"/>
      <c r="O141" s="684"/>
      <c r="P141" s="37"/>
      <c r="Q141" s="684"/>
      <c r="R141" s="684"/>
      <c r="S141" s="684"/>
      <c r="T141" s="684"/>
      <c r="U141" s="37"/>
      <c r="V141" s="684"/>
      <c r="W141" s="37"/>
      <c r="X141" s="684"/>
      <c r="Y141" s="37"/>
      <c r="Z141" s="684"/>
      <c r="AA141" s="897"/>
      <c r="AB141" s="870"/>
      <c r="AC141" s="684"/>
      <c r="AD141" s="684"/>
      <c r="AE141" s="684"/>
      <c r="AF141" s="684"/>
      <c r="AG141" s="684"/>
      <c r="AH141" s="807">
        <f t="shared" si="23"/>
        <v>0</v>
      </c>
      <c r="AI141" s="937"/>
      <c r="AJ141" s="42"/>
      <c r="AK141" s="494"/>
      <c r="AL141" s="764"/>
      <c r="AM141" s="769">
        <f t="shared" si="24"/>
        <v>0</v>
      </c>
      <c r="AN141" s="881"/>
      <c r="AO141" s="882"/>
      <c r="AP141" s="883"/>
      <c r="AQ141" s="883"/>
      <c r="AR141" s="883"/>
      <c r="AS141" s="883"/>
      <c r="AT141" s="883"/>
      <c r="AU141" s="883"/>
      <c r="AV141" s="883"/>
      <c r="AW141" s="883"/>
      <c r="AX141" s="883"/>
      <c r="AY141" s="883"/>
      <c r="AZ141" s="883"/>
      <c r="BA141" s="870">
        <f t="shared" si="22"/>
        <v>0</v>
      </c>
    </row>
    <row r="142" spans="1:53" ht="18.75" x14ac:dyDescent="0.3">
      <c r="A142" s="1031"/>
      <c r="B142" s="1081"/>
      <c r="C142" s="1033"/>
      <c r="D142" s="1034"/>
      <c r="E142" s="916"/>
      <c r="F142" s="916"/>
      <c r="G142" s="916"/>
      <c r="H142" s="916"/>
      <c r="I142" s="916"/>
      <c r="J142" s="916"/>
      <c r="K142" s="916"/>
      <c r="L142" s="916"/>
      <c r="M142" s="916"/>
      <c r="N142" s="888"/>
      <c r="O142" s="916"/>
      <c r="P142" s="888"/>
      <c r="Q142" s="916"/>
      <c r="R142" s="916"/>
      <c r="S142" s="916"/>
      <c r="T142" s="916"/>
      <c r="U142" s="888"/>
      <c r="V142" s="916"/>
      <c r="W142" s="888"/>
      <c r="X142" s="916"/>
      <c r="Y142" s="888"/>
      <c r="Z142" s="916"/>
      <c r="AA142" s="898"/>
      <c r="AB142" s="888"/>
      <c r="AC142" s="916"/>
      <c r="AD142" s="916"/>
      <c r="AE142" s="916"/>
      <c r="AF142" s="916"/>
      <c r="AG142" s="916"/>
      <c r="AH142" s="1049">
        <f t="shared" si="23"/>
        <v>0</v>
      </c>
      <c r="AI142" s="937"/>
      <c r="AJ142" s="42"/>
      <c r="AK142" s="494"/>
      <c r="AL142" s="764"/>
      <c r="AM142" s="769">
        <f t="shared" si="24"/>
        <v>0</v>
      </c>
      <c r="AN142" s="881"/>
      <c r="AO142" s="882"/>
      <c r="AP142" s="870"/>
      <c r="AQ142" s="870"/>
      <c r="AR142" s="870"/>
      <c r="AS142" s="870"/>
      <c r="AT142" s="870"/>
      <c r="AU142" s="870"/>
      <c r="AV142" s="870"/>
      <c r="AW142" s="870"/>
      <c r="AX142" s="870"/>
      <c r="AY142" s="870"/>
      <c r="AZ142" s="870"/>
      <c r="BA142" s="870">
        <f t="shared" si="22"/>
        <v>0</v>
      </c>
    </row>
    <row r="143" spans="1:53" ht="18.75" customHeight="1" x14ac:dyDescent="0.3">
      <c r="A143" s="742"/>
      <c r="B143" s="506"/>
      <c r="C143" s="482"/>
      <c r="D143" s="507" t="s">
        <v>225</v>
      </c>
      <c r="E143" s="156">
        <f t="shared" ref="E143:AG143" si="37">SUM(E113:E142)</f>
        <v>35695.199999999997</v>
      </c>
      <c r="F143" s="156">
        <f t="shared" si="37"/>
        <v>0</v>
      </c>
      <c r="G143" s="156">
        <f t="shared" si="37"/>
        <v>1805</v>
      </c>
      <c r="H143" s="156">
        <f t="shared" si="37"/>
        <v>0</v>
      </c>
      <c r="I143" s="156">
        <f t="shared" si="37"/>
        <v>0</v>
      </c>
      <c r="J143" s="156">
        <f t="shared" si="37"/>
        <v>0</v>
      </c>
      <c r="K143" s="156">
        <f t="shared" si="37"/>
        <v>0</v>
      </c>
      <c r="L143" s="156">
        <f t="shared" si="37"/>
        <v>8620</v>
      </c>
      <c r="M143" s="156">
        <f t="shared" si="37"/>
        <v>0</v>
      </c>
      <c r="N143" s="508">
        <f t="shared" si="37"/>
        <v>0</v>
      </c>
      <c r="O143" s="156">
        <f t="shared" si="37"/>
        <v>525</v>
      </c>
      <c r="P143" s="156">
        <f t="shared" si="37"/>
        <v>19000</v>
      </c>
      <c r="Q143" s="156">
        <f t="shared" si="37"/>
        <v>0</v>
      </c>
      <c r="R143" s="156">
        <f t="shared" si="37"/>
        <v>0</v>
      </c>
      <c r="S143" s="156">
        <f t="shared" si="37"/>
        <v>0</v>
      </c>
      <c r="T143" s="156">
        <f t="shared" si="37"/>
        <v>0</v>
      </c>
      <c r="U143" s="156">
        <f t="shared" si="37"/>
        <v>0</v>
      </c>
      <c r="V143" s="156">
        <f t="shared" si="37"/>
        <v>0</v>
      </c>
      <c r="W143" s="156">
        <f t="shared" si="37"/>
        <v>1617840</v>
      </c>
      <c r="X143" s="156">
        <f t="shared" si="37"/>
        <v>0</v>
      </c>
      <c r="Y143" s="156">
        <f t="shared" si="37"/>
        <v>0</v>
      </c>
      <c r="Z143" s="156">
        <f t="shared" si="37"/>
        <v>0</v>
      </c>
      <c r="AA143" s="902">
        <f t="shared" si="37"/>
        <v>0</v>
      </c>
      <c r="AB143" s="508">
        <f t="shared" si="37"/>
        <v>0</v>
      </c>
      <c r="AC143" s="156">
        <f t="shared" si="37"/>
        <v>0</v>
      </c>
      <c r="AD143" s="156">
        <f t="shared" si="37"/>
        <v>0</v>
      </c>
      <c r="AE143" s="156">
        <f t="shared" si="37"/>
        <v>515869</v>
      </c>
      <c r="AF143" s="156">
        <f t="shared" si="37"/>
        <v>0</v>
      </c>
      <c r="AG143" s="156">
        <f t="shared" si="37"/>
        <v>0</v>
      </c>
      <c r="AH143" s="786">
        <f t="shared" si="23"/>
        <v>2199354.2000000002</v>
      </c>
      <c r="AI143" s="1082"/>
      <c r="AJ143" s="490"/>
      <c r="AK143" s="509"/>
      <c r="AL143" s="765"/>
      <c r="AM143" s="769"/>
      <c r="AN143" s="396"/>
      <c r="AO143" s="397"/>
      <c r="AP143" s="37"/>
      <c r="AQ143" s="491"/>
      <c r="AR143" s="491"/>
      <c r="AS143" s="491"/>
      <c r="AT143" s="491"/>
      <c r="AU143" s="491"/>
      <c r="AV143" s="491"/>
      <c r="AW143" s="491"/>
      <c r="AX143" s="491"/>
      <c r="AY143" s="491"/>
      <c r="AZ143" s="491"/>
      <c r="BA143" s="491"/>
    </row>
    <row r="144" spans="1:53" ht="18.75" customHeight="1" x14ac:dyDescent="0.3">
      <c r="A144" s="742"/>
      <c r="B144" s="506"/>
      <c r="C144" s="482"/>
      <c r="D144" s="507" t="s">
        <v>226</v>
      </c>
      <c r="E144" s="150">
        <f t="shared" ref="E144:AG144" si="38">SUM(E111+E143)</f>
        <v>88126.2</v>
      </c>
      <c r="F144" s="150">
        <f t="shared" si="38"/>
        <v>104149.33</v>
      </c>
      <c r="G144" s="150">
        <f t="shared" si="38"/>
        <v>6305</v>
      </c>
      <c r="H144" s="150">
        <f t="shared" si="38"/>
        <v>0</v>
      </c>
      <c r="I144" s="150">
        <f t="shared" si="38"/>
        <v>0</v>
      </c>
      <c r="J144" s="150">
        <f t="shared" si="38"/>
        <v>2600</v>
      </c>
      <c r="K144" s="150">
        <f t="shared" si="38"/>
        <v>0</v>
      </c>
      <c r="L144" s="150">
        <f t="shared" si="38"/>
        <v>54590</v>
      </c>
      <c r="M144" s="150">
        <f t="shared" si="38"/>
        <v>330000</v>
      </c>
      <c r="N144" s="510">
        <f t="shared" si="38"/>
        <v>23600</v>
      </c>
      <c r="O144" s="150">
        <f t="shared" si="38"/>
        <v>55717</v>
      </c>
      <c r="P144" s="150">
        <f t="shared" si="38"/>
        <v>87210</v>
      </c>
      <c r="Q144" s="150">
        <f t="shared" si="38"/>
        <v>0</v>
      </c>
      <c r="R144" s="150">
        <f t="shared" si="38"/>
        <v>0</v>
      </c>
      <c r="S144" s="150">
        <f t="shared" si="38"/>
        <v>0</v>
      </c>
      <c r="T144" s="150">
        <f t="shared" si="38"/>
        <v>214000</v>
      </c>
      <c r="U144" s="150">
        <f t="shared" si="38"/>
        <v>0</v>
      </c>
      <c r="V144" s="150">
        <f t="shared" si="38"/>
        <v>98000</v>
      </c>
      <c r="W144" s="150">
        <f t="shared" si="38"/>
        <v>1657002</v>
      </c>
      <c r="X144" s="150">
        <f t="shared" si="38"/>
        <v>1620000</v>
      </c>
      <c r="Y144" s="150">
        <f t="shared" si="38"/>
        <v>0</v>
      </c>
      <c r="Z144" s="150">
        <f t="shared" si="38"/>
        <v>99296</v>
      </c>
      <c r="AA144" s="903">
        <f t="shared" si="38"/>
        <v>152876.25</v>
      </c>
      <c r="AB144" s="510">
        <f t="shared" si="38"/>
        <v>350000</v>
      </c>
      <c r="AC144" s="150">
        <f t="shared" si="38"/>
        <v>364200</v>
      </c>
      <c r="AD144" s="150">
        <f t="shared" si="38"/>
        <v>0</v>
      </c>
      <c r="AE144" s="150">
        <f t="shared" si="38"/>
        <v>515869</v>
      </c>
      <c r="AF144" s="150">
        <f t="shared" si="38"/>
        <v>0</v>
      </c>
      <c r="AG144" s="150">
        <f t="shared" si="38"/>
        <v>0</v>
      </c>
      <c r="AH144" s="786">
        <f t="shared" si="23"/>
        <v>5823540.7800000003</v>
      </c>
      <c r="AI144" s="1082"/>
      <c r="AJ144" s="490"/>
      <c r="AK144" s="509"/>
      <c r="AL144" s="765"/>
      <c r="AM144" s="769"/>
      <c r="AN144" s="396"/>
      <c r="AO144" s="397"/>
      <c r="AP144" s="37"/>
      <c r="AQ144" s="55"/>
      <c r="AR144" s="55"/>
      <c r="AS144" s="55"/>
      <c r="AT144" s="55"/>
      <c r="AU144" s="55"/>
      <c r="AV144" s="55"/>
      <c r="AW144" s="55"/>
      <c r="AX144" s="55"/>
      <c r="AY144" s="55"/>
      <c r="AZ144" s="55"/>
      <c r="BA144" s="55"/>
    </row>
    <row r="145" spans="1:53" ht="18.75" customHeight="1" x14ac:dyDescent="0.3">
      <c r="A145" s="743"/>
      <c r="B145" s="511"/>
      <c r="C145" s="484"/>
      <c r="D145" s="512" t="s">
        <v>227</v>
      </c>
      <c r="E145" s="153">
        <f t="shared" ref="E145:AG145" si="39">SUM(E112-E143)</f>
        <v>478673.8</v>
      </c>
      <c r="F145" s="153">
        <f t="shared" si="39"/>
        <v>45850.669999999991</v>
      </c>
      <c r="G145" s="153">
        <f t="shared" si="39"/>
        <v>321695</v>
      </c>
      <c r="H145" s="153">
        <f t="shared" si="39"/>
        <v>0</v>
      </c>
      <c r="I145" s="153">
        <f t="shared" si="39"/>
        <v>0</v>
      </c>
      <c r="J145" s="153">
        <f t="shared" si="39"/>
        <v>-2600</v>
      </c>
      <c r="K145" s="153">
        <f t="shared" si="39"/>
        <v>0</v>
      </c>
      <c r="L145" s="153">
        <f t="shared" si="39"/>
        <v>193310</v>
      </c>
      <c r="M145" s="153">
        <f t="shared" si="39"/>
        <v>-330000</v>
      </c>
      <c r="N145" s="513">
        <f t="shared" si="39"/>
        <v>-23600</v>
      </c>
      <c r="O145" s="153">
        <f t="shared" si="39"/>
        <v>194283</v>
      </c>
      <c r="P145" s="153">
        <f t="shared" si="39"/>
        <v>52790</v>
      </c>
      <c r="Q145" s="153">
        <f t="shared" si="39"/>
        <v>0</v>
      </c>
      <c r="R145" s="153">
        <f t="shared" si="39"/>
        <v>0</v>
      </c>
      <c r="S145" s="153">
        <f t="shared" si="39"/>
        <v>0</v>
      </c>
      <c r="T145" s="153">
        <f t="shared" si="39"/>
        <v>0</v>
      </c>
      <c r="U145" s="153">
        <f t="shared" si="39"/>
        <v>388945</v>
      </c>
      <c r="V145" s="153">
        <f t="shared" si="39"/>
        <v>-23100</v>
      </c>
      <c r="W145" s="153">
        <f t="shared" si="39"/>
        <v>-463343</v>
      </c>
      <c r="X145" s="153">
        <f t="shared" si="39"/>
        <v>-115200</v>
      </c>
      <c r="Y145" s="153">
        <f t="shared" si="39"/>
        <v>189600</v>
      </c>
      <c r="Z145" s="153">
        <f t="shared" si="39"/>
        <v>0</v>
      </c>
      <c r="AA145" s="904">
        <f t="shared" si="39"/>
        <v>7123.75</v>
      </c>
      <c r="AB145" s="513">
        <f t="shared" si="39"/>
        <v>-175200</v>
      </c>
      <c r="AC145" s="153">
        <f t="shared" si="39"/>
        <v>-166200</v>
      </c>
      <c r="AD145" s="153">
        <f t="shared" si="39"/>
        <v>0</v>
      </c>
      <c r="AE145" s="153">
        <f t="shared" si="39"/>
        <v>7984131</v>
      </c>
      <c r="AF145" s="153">
        <f t="shared" si="39"/>
        <v>716400</v>
      </c>
      <c r="AG145" s="153">
        <f t="shared" si="39"/>
        <v>1113800</v>
      </c>
      <c r="AH145" s="787">
        <f t="shared" si="23"/>
        <v>10387359.220000001</v>
      </c>
      <c r="AI145" s="1082"/>
      <c r="AJ145" s="490"/>
      <c r="AK145" s="509"/>
      <c r="AL145" s="765"/>
      <c r="AM145" s="769"/>
      <c r="AN145" s="396"/>
      <c r="AO145" s="397"/>
      <c r="AP145" s="37"/>
      <c r="AQ145" s="55"/>
      <c r="AR145" s="55"/>
      <c r="AS145" s="55"/>
      <c r="AT145" s="55"/>
      <c r="AU145" s="55"/>
      <c r="AV145" s="55"/>
      <c r="AW145" s="55"/>
      <c r="AX145" s="55"/>
      <c r="AY145" s="55"/>
      <c r="AZ145" s="55"/>
      <c r="BA145" s="55"/>
    </row>
    <row r="146" spans="1:53" ht="18.75" customHeight="1" x14ac:dyDescent="0.3">
      <c r="A146" s="1050" t="s">
        <v>228</v>
      </c>
      <c r="B146" s="1083"/>
      <c r="C146" s="1051"/>
      <c r="D146" s="41"/>
      <c r="E146" s="684"/>
      <c r="F146" s="684"/>
      <c r="G146" s="684"/>
      <c r="H146" s="684"/>
      <c r="I146" s="684"/>
      <c r="J146" s="966"/>
      <c r="K146" s="966"/>
      <c r="L146" s="966"/>
      <c r="M146" s="684"/>
      <c r="N146" s="37"/>
      <c r="O146" s="684"/>
      <c r="P146" s="37"/>
      <c r="Q146" s="684"/>
      <c r="R146" s="684"/>
      <c r="S146" s="684"/>
      <c r="T146" s="684"/>
      <c r="U146" s="37"/>
      <c r="V146" s="684"/>
      <c r="W146" s="37"/>
      <c r="X146" s="684"/>
      <c r="Y146" s="37"/>
      <c r="Z146" s="684"/>
      <c r="AA146" s="897"/>
      <c r="AB146" s="870"/>
      <c r="AC146" s="684"/>
      <c r="AD146" s="684"/>
      <c r="AE146" s="684"/>
      <c r="AF146" s="684"/>
      <c r="AG146" s="684"/>
      <c r="AH146" s="1036"/>
      <c r="AI146" s="937"/>
      <c r="AJ146" s="42"/>
      <c r="AK146" s="494"/>
      <c r="AL146" s="764"/>
      <c r="AM146" s="769">
        <f>AH146-AK146-AL146</f>
        <v>0</v>
      </c>
      <c r="AN146" s="481"/>
      <c r="AO146" s="395"/>
      <c r="AP146" s="37"/>
      <c r="AQ146" s="37"/>
      <c r="AR146" s="37"/>
      <c r="AS146" s="476"/>
      <c r="AT146" s="476"/>
      <c r="AU146" s="476"/>
      <c r="AV146" s="476"/>
      <c r="AW146" s="476"/>
      <c r="AX146" s="476"/>
      <c r="AY146" s="476"/>
      <c r="AZ146" s="476"/>
      <c r="BA146" s="476"/>
    </row>
    <row r="147" spans="1:53" ht="18.75" x14ac:dyDescent="0.3">
      <c r="A147" s="957"/>
      <c r="B147" s="171"/>
      <c r="C147" s="955"/>
      <c r="D147" s="34"/>
      <c r="E147" s="684"/>
      <c r="F147" s="684"/>
      <c r="G147" s="684"/>
      <c r="H147" s="684"/>
      <c r="I147" s="684"/>
      <c r="J147" s="684"/>
      <c r="K147" s="684"/>
      <c r="L147" s="684"/>
      <c r="M147" s="684"/>
      <c r="N147" s="37"/>
      <c r="O147" s="684"/>
      <c r="P147" s="37"/>
      <c r="Q147" s="684"/>
      <c r="R147" s="684"/>
      <c r="S147" s="684"/>
      <c r="T147" s="684"/>
      <c r="U147" s="37"/>
      <c r="V147" s="684"/>
      <c r="W147" s="37"/>
      <c r="X147" s="684"/>
      <c r="Y147" s="37"/>
      <c r="Z147" s="684"/>
      <c r="AA147" s="897"/>
      <c r="AB147" s="870"/>
      <c r="AC147" s="684"/>
      <c r="AD147" s="684"/>
      <c r="AE147" s="684"/>
      <c r="AF147" s="684"/>
      <c r="AG147" s="684"/>
      <c r="AH147" s="807">
        <f t="shared" ref="AH147:AH169" si="40">SUM(E147:AG147)</f>
        <v>0</v>
      </c>
      <c r="AI147" s="937"/>
      <c r="AJ147" s="42"/>
      <c r="AK147" s="494"/>
      <c r="AL147" s="764"/>
      <c r="AM147" s="769">
        <f>AH147-AK147-AL147</f>
        <v>0</v>
      </c>
      <c r="AN147" s="881"/>
      <c r="AO147" s="882"/>
      <c r="AP147" s="870"/>
      <c r="AQ147" s="870"/>
      <c r="AR147" s="870"/>
      <c r="AS147" s="870"/>
      <c r="AT147" s="870"/>
      <c r="AU147" s="870"/>
      <c r="AV147" s="870"/>
      <c r="AW147" s="870"/>
      <c r="AX147" s="870"/>
      <c r="AY147" s="870"/>
      <c r="AZ147" s="870"/>
      <c r="BA147" s="870">
        <f>SUM(AO147:AZ147)</f>
        <v>0</v>
      </c>
    </row>
    <row r="148" spans="1:53" ht="18.75" x14ac:dyDescent="0.3">
      <c r="A148" s="957"/>
      <c r="B148" s="171"/>
      <c r="C148" s="955"/>
      <c r="D148" s="34"/>
      <c r="E148" s="684"/>
      <c r="F148" s="684"/>
      <c r="G148" s="684"/>
      <c r="H148" s="684"/>
      <c r="I148" s="684"/>
      <c r="J148" s="684"/>
      <c r="K148" s="684"/>
      <c r="L148" s="684"/>
      <c r="M148" s="684"/>
      <c r="N148" s="37"/>
      <c r="O148" s="684"/>
      <c r="P148" s="37"/>
      <c r="Q148" s="684"/>
      <c r="R148" s="684"/>
      <c r="S148" s="684"/>
      <c r="T148" s="684"/>
      <c r="U148" s="37"/>
      <c r="V148" s="684"/>
      <c r="W148" s="37"/>
      <c r="X148" s="684"/>
      <c r="Y148" s="37"/>
      <c r="Z148" s="684"/>
      <c r="AA148" s="897"/>
      <c r="AB148" s="870"/>
      <c r="AC148" s="684"/>
      <c r="AD148" s="684"/>
      <c r="AE148" s="684"/>
      <c r="AF148" s="684"/>
      <c r="AG148" s="684"/>
      <c r="AH148" s="807">
        <f t="shared" si="40"/>
        <v>0</v>
      </c>
      <c r="AI148" s="937"/>
      <c r="AJ148" s="42"/>
      <c r="AK148" s="494"/>
      <c r="AL148" s="764"/>
      <c r="AM148" s="769">
        <f t="shared" ref="AM148:AM166" si="41">AH148-AK148-AL148</f>
        <v>0</v>
      </c>
      <c r="AN148" s="881"/>
      <c r="AO148" s="882"/>
      <c r="AP148" s="870"/>
      <c r="AQ148" s="870"/>
      <c r="AR148" s="870"/>
      <c r="AS148" s="870"/>
      <c r="AT148" s="870"/>
      <c r="AU148" s="870"/>
      <c r="AV148" s="870"/>
      <c r="AW148" s="870"/>
      <c r="AX148" s="870"/>
      <c r="AY148" s="870"/>
      <c r="AZ148" s="870"/>
      <c r="BA148" s="870">
        <f t="shared" ref="BA148:BA166" si="42">SUM(AO148:AZ148)</f>
        <v>0</v>
      </c>
    </row>
    <row r="149" spans="1:53" ht="18.75" x14ac:dyDescent="0.3">
      <c r="A149" s="957"/>
      <c r="B149" s="171"/>
      <c r="C149" s="955"/>
      <c r="D149" s="34"/>
      <c r="E149" s="684"/>
      <c r="F149" s="684"/>
      <c r="G149" s="684"/>
      <c r="H149" s="684"/>
      <c r="I149" s="684"/>
      <c r="J149" s="684"/>
      <c r="K149" s="684"/>
      <c r="L149" s="684"/>
      <c r="M149" s="684"/>
      <c r="N149" s="37"/>
      <c r="O149" s="684"/>
      <c r="P149" s="37"/>
      <c r="Q149" s="684"/>
      <c r="R149" s="684"/>
      <c r="S149" s="684"/>
      <c r="T149" s="684"/>
      <c r="U149" s="37"/>
      <c r="V149" s="684"/>
      <c r="W149" s="37"/>
      <c r="X149" s="684"/>
      <c r="Y149" s="37"/>
      <c r="Z149" s="684"/>
      <c r="AA149" s="897"/>
      <c r="AB149" s="870"/>
      <c r="AC149" s="684"/>
      <c r="AD149" s="684"/>
      <c r="AE149" s="684"/>
      <c r="AF149" s="684"/>
      <c r="AG149" s="684"/>
      <c r="AH149" s="807">
        <f t="shared" si="40"/>
        <v>0</v>
      </c>
      <c r="AI149" s="937"/>
      <c r="AJ149" s="65"/>
      <c r="AK149" s="494"/>
      <c r="AL149" s="764"/>
      <c r="AM149" s="769">
        <f t="shared" si="41"/>
        <v>0</v>
      </c>
      <c r="AN149" s="881"/>
      <c r="AO149" s="882"/>
      <c r="AP149" s="870"/>
      <c r="AQ149" s="870"/>
      <c r="AR149" s="870"/>
      <c r="AS149" s="870"/>
      <c r="AT149" s="870"/>
      <c r="AU149" s="870"/>
      <c r="AV149" s="870"/>
      <c r="AW149" s="870"/>
      <c r="AX149" s="870"/>
      <c r="AY149" s="870"/>
      <c r="AZ149" s="870"/>
      <c r="BA149" s="870">
        <f t="shared" si="42"/>
        <v>0</v>
      </c>
    </row>
    <row r="150" spans="1:53" ht="18.75" x14ac:dyDescent="0.3">
      <c r="A150" s="957"/>
      <c r="B150" s="871"/>
      <c r="C150" s="840"/>
      <c r="D150" s="34"/>
      <c r="E150" s="684"/>
      <c r="F150" s="684"/>
      <c r="G150" s="684"/>
      <c r="H150" s="684"/>
      <c r="I150" s="684"/>
      <c r="J150" s="684"/>
      <c r="K150" s="684"/>
      <c r="L150" s="684"/>
      <c r="M150" s="684"/>
      <c r="N150" s="37"/>
      <c r="O150" s="684"/>
      <c r="P150" s="37"/>
      <c r="Q150" s="684"/>
      <c r="R150" s="684"/>
      <c r="S150" s="684"/>
      <c r="T150" s="684"/>
      <c r="U150" s="37"/>
      <c r="V150" s="684"/>
      <c r="W150" s="37"/>
      <c r="X150" s="684"/>
      <c r="Y150" s="37"/>
      <c r="Z150" s="684"/>
      <c r="AA150" s="897"/>
      <c r="AB150" s="870"/>
      <c r="AC150" s="684"/>
      <c r="AD150" s="684"/>
      <c r="AE150" s="684"/>
      <c r="AF150" s="684"/>
      <c r="AG150" s="684"/>
      <c r="AH150" s="807">
        <f t="shared" si="40"/>
        <v>0</v>
      </c>
      <c r="AI150" s="940"/>
      <c r="AJ150" s="874"/>
      <c r="AK150" s="875"/>
      <c r="AL150" s="764"/>
      <c r="AM150" s="769">
        <f t="shared" si="41"/>
        <v>0</v>
      </c>
      <c r="AN150" s="881"/>
      <c r="AO150" s="882"/>
      <c r="AP150" s="870"/>
      <c r="AQ150" s="870"/>
      <c r="AR150" s="870"/>
      <c r="AS150" s="870"/>
      <c r="AT150" s="870"/>
      <c r="AU150" s="870"/>
      <c r="AV150" s="870"/>
      <c r="AW150" s="870"/>
      <c r="AX150" s="870"/>
      <c r="AY150" s="870"/>
      <c r="AZ150" s="870"/>
      <c r="BA150" s="870">
        <f t="shared" si="42"/>
        <v>0</v>
      </c>
    </row>
    <row r="151" spans="1:53" ht="18.75" x14ac:dyDescent="0.3">
      <c r="A151" s="957"/>
      <c r="B151" s="871"/>
      <c r="C151" s="955"/>
      <c r="D151" s="34"/>
      <c r="E151" s="684"/>
      <c r="F151" s="684"/>
      <c r="G151" s="684"/>
      <c r="H151" s="684"/>
      <c r="I151" s="684"/>
      <c r="J151" s="684"/>
      <c r="K151" s="684"/>
      <c r="L151" s="684"/>
      <c r="M151" s="684"/>
      <c r="N151" s="37"/>
      <c r="O151" s="684"/>
      <c r="P151" s="37"/>
      <c r="Q151" s="684"/>
      <c r="R151" s="684"/>
      <c r="S151" s="684"/>
      <c r="T151" s="684"/>
      <c r="U151" s="37"/>
      <c r="V151" s="684"/>
      <c r="W151" s="37"/>
      <c r="X151" s="684"/>
      <c r="Y151" s="37"/>
      <c r="Z151" s="684"/>
      <c r="AA151" s="897"/>
      <c r="AB151" s="870"/>
      <c r="AC151" s="684"/>
      <c r="AD151" s="684"/>
      <c r="AE151" s="684"/>
      <c r="AF151" s="684"/>
      <c r="AG151" s="684"/>
      <c r="AH151" s="807">
        <f t="shared" si="40"/>
        <v>0</v>
      </c>
      <c r="AI151" s="940"/>
      <c r="AJ151" s="874"/>
      <c r="AK151" s="494"/>
      <c r="AL151" s="764"/>
      <c r="AM151" s="769">
        <f t="shared" si="41"/>
        <v>0</v>
      </c>
      <c r="AN151" s="881"/>
      <c r="AO151" s="882"/>
      <c r="AP151" s="870"/>
      <c r="AQ151" s="886"/>
      <c r="AR151" s="870"/>
      <c r="AS151" s="870"/>
      <c r="AT151" s="870"/>
      <c r="AU151" s="870"/>
      <c r="AV151" s="870"/>
      <c r="AW151" s="870"/>
      <c r="AX151" s="870"/>
      <c r="AY151" s="870"/>
      <c r="AZ151" s="870"/>
      <c r="BA151" s="870">
        <f t="shared" si="42"/>
        <v>0</v>
      </c>
    </row>
    <row r="152" spans="1:53" ht="18.75" x14ac:dyDescent="0.3">
      <c r="A152" s="957"/>
      <c r="B152" s="871"/>
      <c r="C152" s="955"/>
      <c r="D152" s="34"/>
      <c r="E152" s="684"/>
      <c r="F152" s="684"/>
      <c r="G152" s="684"/>
      <c r="H152" s="684"/>
      <c r="I152" s="684"/>
      <c r="J152" s="684"/>
      <c r="K152" s="684"/>
      <c r="L152" s="684"/>
      <c r="M152" s="684"/>
      <c r="N152" s="37"/>
      <c r="O152" s="684"/>
      <c r="P152" s="37"/>
      <c r="Q152" s="684"/>
      <c r="R152" s="684"/>
      <c r="S152" s="684"/>
      <c r="T152" s="684"/>
      <c r="U152" s="37"/>
      <c r="V152" s="684"/>
      <c r="W152" s="37"/>
      <c r="X152" s="684"/>
      <c r="Y152" s="37"/>
      <c r="Z152" s="684"/>
      <c r="AA152" s="897"/>
      <c r="AB152" s="870"/>
      <c r="AC152" s="684"/>
      <c r="AD152" s="684"/>
      <c r="AE152" s="684"/>
      <c r="AF152" s="684"/>
      <c r="AG152" s="684"/>
      <c r="AH152" s="807">
        <f t="shared" si="40"/>
        <v>0</v>
      </c>
      <c r="AI152" s="940"/>
      <c r="AJ152" s="874"/>
      <c r="AK152" s="494"/>
      <c r="AL152" s="764"/>
      <c r="AM152" s="769">
        <f t="shared" si="41"/>
        <v>0</v>
      </c>
      <c r="AN152" s="881"/>
      <c r="AO152" s="882"/>
      <c r="AP152" s="870"/>
      <c r="AQ152" s="870"/>
      <c r="AR152" s="870"/>
      <c r="AS152" s="870"/>
      <c r="AT152" s="870"/>
      <c r="AU152" s="870"/>
      <c r="AV152" s="870"/>
      <c r="AW152" s="870"/>
      <c r="AX152" s="870"/>
      <c r="AY152" s="870"/>
      <c r="AZ152" s="870"/>
      <c r="BA152" s="870">
        <f t="shared" si="42"/>
        <v>0</v>
      </c>
    </row>
    <row r="153" spans="1:53" ht="18.75" x14ac:dyDescent="0.3">
      <c r="A153" s="957"/>
      <c r="B153" s="871"/>
      <c r="C153" s="955"/>
      <c r="D153" s="34"/>
      <c r="E153" s="684"/>
      <c r="F153" s="684"/>
      <c r="G153" s="684"/>
      <c r="H153" s="684"/>
      <c r="I153" s="684"/>
      <c r="J153" s="684"/>
      <c r="K153" s="684"/>
      <c r="L153" s="684"/>
      <c r="M153" s="684"/>
      <c r="N153" s="37"/>
      <c r="O153" s="684"/>
      <c r="P153" s="37"/>
      <c r="Q153" s="684"/>
      <c r="R153" s="684"/>
      <c r="S153" s="684"/>
      <c r="T153" s="684"/>
      <c r="U153" s="37"/>
      <c r="V153" s="684"/>
      <c r="W153" s="37"/>
      <c r="X153" s="684"/>
      <c r="Y153" s="37"/>
      <c r="Z153" s="684"/>
      <c r="AA153" s="897"/>
      <c r="AB153" s="870"/>
      <c r="AC153" s="684"/>
      <c r="AD153" s="684"/>
      <c r="AE153" s="684"/>
      <c r="AF153" s="684"/>
      <c r="AG153" s="684"/>
      <c r="AH153" s="807">
        <f t="shared" si="40"/>
        <v>0</v>
      </c>
      <c r="AI153" s="937"/>
      <c r="AJ153" s="876"/>
      <c r="AK153" s="494"/>
      <c r="AL153" s="764"/>
      <c r="AM153" s="769">
        <f t="shared" si="41"/>
        <v>0</v>
      </c>
      <c r="AN153" s="881"/>
      <c r="AO153" s="882"/>
      <c r="AP153" s="870"/>
      <c r="AQ153" s="870"/>
      <c r="AR153" s="870"/>
      <c r="AS153" s="870"/>
      <c r="AT153" s="870"/>
      <c r="AU153" s="870"/>
      <c r="AV153" s="870"/>
      <c r="AW153" s="870"/>
      <c r="AX153" s="870"/>
      <c r="AY153" s="870"/>
      <c r="AZ153" s="870"/>
      <c r="BA153" s="870">
        <f t="shared" si="42"/>
        <v>0</v>
      </c>
    </row>
    <row r="154" spans="1:53" ht="18.75" x14ac:dyDescent="0.3">
      <c r="A154" s="957"/>
      <c r="B154" s="871"/>
      <c r="C154" s="955"/>
      <c r="D154" s="34"/>
      <c r="E154" s="684"/>
      <c r="F154" s="684"/>
      <c r="G154" s="684"/>
      <c r="H154" s="684"/>
      <c r="I154" s="684"/>
      <c r="J154" s="684"/>
      <c r="K154" s="684"/>
      <c r="L154" s="684"/>
      <c r="M154" s="684"/>
      <c r="N154" s="37"/>
      <c r="O154" s="684"/>
      <c r="P154" s="37"/>
      <c r="Q154" s="684"/>
      <c r="R154" s="684"/>
      <c r="S154" s="684"/>
      <c r="T154" s="684"/>
      <c r="U154" s="37"/>
      <c r="V154" s="684"/>
      <c r="W154" s="37"/>
      <c r="X154" s="684"/>
      <c r="Y154" s="37"/>
      <c r="Z154" s="684"/>
      <c r="AA154" s="897"/>
      <c r="AB154" s="870"/>
      <c r="AC154" s="684"/>
      <c r="AD154" s="684"/>
      <c r="AE154" s="684"/>
      <c r="AF154" s="684"/>
      <c r="AG154" s="684"/>
      <c r="AH154" s="1036">
        <f t="shared" si="40"/>
        <v>0</v>
      </c>
      <c r="AI154" s="940"/>
      <c r="AJ154" s="874"/>
      <c r="AK154" s="494"/>
      <c r="AL154" s="764"/>
      <c r="AM154" s="769">
        <f t="shared" si="41"/>
        <v>0</v>
      </c>
      <c r="AN154" s="881"/>
      <c r="AO154" s="882"/>
      <c r="AP154" s="870"/>
      <c r="AQ154" s="870"/>
      <c r="AR154" s="870"/>
      <c r="AS154" s="870"/>
      <c r="AT154" s="870"/>
      <c r="AU154" s="870"/>
      <c r="AV154" s="870"/>
      <c r="AW154" s="870"/>
      <c r="AX154" s="870"/>
      <c r="AY154" s="870"/>
      <c r="AZ154" s="870"/>
      <c r="BA154" s="870">
        <f t="shared" si="42"/>
        <v>0</v>
      </c>
    </row>
    <row r="155" spans="1:53" ht="18.75" x14ac:dyDescent="0.3">
      <c r="A155" s="957"/>
      <c r="B155" s="871"/>
      <c r="C155" s="955"/>
      <c r="D155" s="34"/>
      <c r="E155" s="684"/>
      <c r="F155" s="684"/>
      <c r="G155" s="684"/>
      <c r="H155" s="684"/>
      <c r="I155" s="684"/>
      <c r="J155" s="684"/>
      <c r="K155" s="684"/>
      <c r="L155" s="684"/>
      <c r="M155" s="684"/>
      <c r="N155" s="37"/>
      <c r="O155" s="684"/>
      <c r="P155" s="37"/>
      <c r="Q155" s="684"/>
      <c r="R155" s="684"/>
      <c r="S155" s="684"/>
      <c r="T155" s="684"/>
      <c r="U155" s="37"/>
      <c r="V155" s="684"/>
      <c r="W155" s="37"/>
      <c r="X155" s="684"/>
      <c r="Y155" s="37"/>
      <c r="Z155" s="684"/>
      <c r="AA155" s="897"/>
      <c r="AB155" s="870"/>
      <c r="AC155" s="684"/>
      <c r="AD155" s="684"/>
      <c r="AE155" s="684"/>
      <c r="AF155" s="684"/>
      <c r="AG155" s="684"/>
      <c r="AH155" s="807">
        <f t="shared" si="40"/>
        <v>0</v>
      </c>
      <c r="AI155" s="940"/>
      <c r="AJ155" s="874"/>
      <c r="AK155" s="494"/>
      <c r="AL155" s="764"/>
      <c r="AM155" s="769">
        <f t="shared" si="41"/>
        <v>0</v>
      </c>
      <c r="AN155" s="881"/>
      <c r="AO155" s="886"/>
      <c r="AP155" s="886"/>
      <c r="AQ155" s="870"/>
      <c r="AR155" s="870"/>
      <c r="AS155" s="870"/>
      <c r="AT155" s="870"/>
      <c r="AU155" s="870"/>
      <c r="AV155" s="870"/>
      <c r="AW155" s="870"/>
      <c r="AX155" s="870"/>
      <c r="AY155" s="870"/>
      <c r="AZ155" s="870"/>
      <c r="BA155" s="870">
        <f t="shared" si="42"/>
        <v>0</v>
      </c>
    </row>
    <row r="156" spans="1:53" ht="18.75" x14ac:dyDescent="0.3">
      <c r="A156" s="1079"/>
      <c r="B156" s="171"/>
      <c r="C156" s="955"/>
      <c r="D156" s="34"/>
      <c r="E156" s="684"/>
      <c r="F156" s="684"/>
      <c r="G156" s="684"/>
      <c r="H156" s="684"/>
      <c r="I156" s="684"/>
      <c r="J156" s="684"/>
      <c r="K156" s="684"/>
      <c r="L156" s="684"/>
      <c r="M156" s="684"/>
      <c r="N156" s="37"/>
      <c r="O156" s="684"/>
      <c r="P156" s="37"/>
      <c r="Q156" s="684"/>
      <c r="R156" s="684"/>
      <c r="S156" s="684"/>
      <c r="T156" s="684"/>
      <c r="U156" s="37"/>
      <c r="V156" s="684"/>
      <c r="W156" s="37"/>
      <c r="X156" s="684"/>
      <c r="Y156" s="37"/>
      <c r="Z156" s="684"/>
      <c r="AA156" s="897"/>
      <c r="AB156" s="870"/>
      <c r="AC156" s="684"/>
      <c r="AD156" s="684"/>
      <c r="AE156" s="684"/>
      <c r="AF156" s="684"/>
      <c r="AG156" s="684"/>
      <c r="AH156" s="807">
        <f t="shared" si="40"/>
        <v>0</v>
      </c>
      <c r="AI156" s="937"/>
      <c r="AJ156" s="42"/>
      <c r="AK156" s="494"/>
      <c r="AL156" s="764"/>
      <c r="AM156" s="769">
        <f t="shared" si="41"/>
        <v>0</v>
      </c>
      <c r="AN156" s="881"/>
      <c r="AO156" s="882"/>
      <c r="AP156" s="883"/>
      <c r="AQ156" s="883"/>
      <c r="AR156" s="883"/>
      <c r="AS156" s="883"/>
      <c r="AT156" s="883"/>
      <c r="AU156" s="883"/>
      <c r="AV156" s="883"/>
      <c r="AW156" s="883"/>
      <c r="AX156" s="883"/>
      <c r="AY156" s="883"/>
      <c r="AZ156" s="883"/>
      <c r="BA156" s="870">
        <f t="shared" si="42"/>
        <v>0</v>
      </c>
    </row>
    <row r="157" spans="1:53" ht="18.75" x14ac:dyDescent="0.3">
      <c r="A157" s="1079"/>
      <c r="B157" s="171"/>
      <c r="C157" s="955"/>
      <c r="D157" s="41"/>
      <c r="E157" s="684"/>
      <c r="F157" s="684"/>
      <c r="G157" s="684"/>
      <c r="H157" s="684"/>
      <c r="I157" s="684"/>
      <c r="J157" s="684"/>
      <c r="K157" s="684"/>
      <c r="L157" s="684"/>
      <c r="M157" s="684"/>
      <c r="N157" s="37"/>
      <c r="O157" s="684"/>
      <c r="P157" s="37"/>
      <c r="Q157" s="684"/>
      <c r="R157" s="684"/>
      <c r="S157" s="684"/>
      <c r="T157" s="684"/>
      <c r="U157" s="37"/>
      <c r="V157" s="684"/>
      <c r="W157" s="37"/>
      <c r="X157" s="684"/>
      <c r="Y157" s="37"/>
      <c r="Z157" s="684"/>
      <c r="AA157" s="897"/>
      <c r="AB157" s="870"/>
      <c r="AC157" s="684"/>
      <c r="AD157" s="684"/>
      <c r="AE157" s="684"/>
      <c r="AF157" s="684"/>
      <c r="AG157" s="684"/>
      <c r="AH157" s="807">
        <f t="shared" si="40"/>
        <v>0</v>
      </c>
      <c r="AI157" s="937"/>
      <c r="AJ157" s="42"/>
      <c r="AK157" s="494"/>
      <c r="AL157" s="764"/>
      <c r="AM157" s="769">
        <f t="shared" si="41"/>
        <v>0</v>
      </c>
      <c r="AN157" s="881"/>
      <c r="AO157" s="882"/>
      <c r="AP157" s="883"/>
      <c r="AQ157" s="883"/>
      <c r="AR157" s="883"/>
      <c r="AS157" s="883"/>
      <c r="AT157" s="883"/>
      <c r="AU157" s="883"/>
      <c r="AV157" s="883"/>
      <c r="AW157" s="883"/>
      <c r="AX157" s="883"/>
      <c r="AY157" s="883"/>
      <c r="AZ157" s="883"/>
      <c r="BA157" s="870">
        <f t="shared" si="42"/>
        <v>0</v>
      </c>
    </row>
    <row r="158" spans="1:53" ht="18.75" x14ac:dyDescent="0.3">
      <c r="A158" s="1079"/>
      <c r="B158" s="171"/>
      <c r="C158" s="955"/>
      <c r="D158" s="34"/>
      <c r="E158" s="684"/>
      <c r="F158" s="684"/>
      <c r="G158" s="684"/>
      <c r="H158" s="684"/>
      <c r="I158" s="684"/>
      <c r="J158" s="684"/>
      <c r="K158" s="684"/>
      <c r="L158" s="684"/>
      <c r="M158" s="684"/>
      <c r="N158" s="37"/>
      <c r="O158" s="684"/>
      <c r="P158" s="37"/>
      <c r="Q158" s="684"/>
      <c r="R158" s="684"/>
      <c r="S158" s="684"/>
      <c r="T158" s="684"/>
      <c r="U158" s="37"/>
      <c r="V158" s="684"/>
      <c r="W158" s="37"/>
      <c r="X158" s="684"/>
      <c r="Y158" s="37"/>
      <c r="Z158" s="684"/>
      <c r="AA158" s="897"/>
      <c r="AB158" s="870"/>
      <c r="AC158" s="684"/>
      <c r="AD158" s="684"/>
      <c r="AE158" s="684"/>
      <c r="AF158" s="684"/>
      <c r="AG158" s="684"/>
      <c r="AH158" s="807">
        <f t="shared" si="40"/>
        <v>0</v>
      </c>
      <c r="AI158" s="937"/>
      <c r="AJ158" s="42"/>
      <c r="AK158" s="494"/>
      <c r="AL158" s="764"/>
      <c r="AM158" s="769">
        <f t="shared" si="41"/>
        <v>0</v>
      </c>
      <c r="AN158" s="881"/>
      <c r="AO158" s="882"/>
      <c r="AP158" s="883"/>
      <c r="AQ158" s="883"/>
      <c r="AR158" s="883"/>
      <c r="AS158" s="883"/>
      <c r="AT158" s="883"/>
      <c r="AU158" s="883"/>
      <c r="AV158" s="883"/>
      <c r="AW158" s="883"/>
      <c r="AX158" s="883"/>
      <c r="AY158" s="883"/>
      <c r="AZ158" s="883"/>
      <c r="BA158" s="870">
        <f t="shared" si="42"/>
        <v>0</v>
      </c>
    </row>
    <row r="159" spans="1:53" ht="18.75" x14ac:dyDescent="0.3">
      <c r="A159" s="1079"/>
      <c r="B159" s="171"/>
      <c r="C159" s="955"/>
      <c r="D159" s="34"/>
      <c r="E159" s="684"/>
      <c r="F159" s="684"/>
      <c r="G159" s="684"/>
      <c r="H159" s="684"/>
      <c r="I159" s="684"/>
      <c r="J159" s="684"/>
      <c r="K159" s="684"/>
      <c r="L159" s="684"/>
      <c r="M159" s="684"/>
      <c r="N159" s="37"/>
      <c r="O159" s="684"/>
      <c r="P159" s="37"/>
      <c r="Q159" s="684"/>
      <c r="R159" s="684"/>
      <c r="S159" s="684"/>
      <c r="T159" s="684"/>
      <c r="U159" s="37"/>
      <c r="V159" s="684"/>
      <c r="W159" s="37"/>
      <c r="X159" s="684"/>
      <c r="Y159" s="37"/>
      <c r="Z159" s="684"/>
      <c r="AA159" s="897"/>
      <c r="AB159" s="870"/>
      <c r="AC159" s="684"/>
      <c r="AD159" s="684"/>
      <c r="AE159" s="684"/>
      <c r="AF159" s="684"/>
      <c r="AG159" s="684"/>
      <c r="AH159" s="807">
        <f t="shared" si="40"/>
        <v>0</v>
      </c>
      <c r="AI159" s="937"/>
      <c r="AJ159" s="42"/>
      <c r="AK159" s="494"/>
      <c r="AL159" s="764"/>
      <c r="AM159" s="769">
        <f t="shared" si="41"/>
        <v>0</v>
      </c>
      <c r="AN159" s="881"/>
      <c r="AO159" s="882"/>
      <c r="AP159" s="883"/>
      <c r="AQ159" s="883"/>
      <c r="AR159" s="883"/>
      <c r="AS159" s="883"/>
      <c r="AT159" s="883"/>
      <c r="AU159" s="883"/>
      <c r="AV159" s="883"/>
      <c r="AW159" s="883"/>
      <c r="AX159" s="883"/>
      <c r="AY159" s="883"/>
      <c r="AZ159" s="883"/>
      <c r="BA159" s="870">
        <f t="shared" si="42"/>
        <v>0</v>
      </c>
    </row>
    <row r="160" spans="1:53" ht="18.75" x14ac:dyDescent="0.3">
      <c r="A160" s="1079"/>
      <c r="B160" s="171"/>
      <c r="C160" s="955"/>
      <c r="D160" s="34"/>
      <c r="E160" s="684"/>
      <c r="F160" s="684"/>
      <c r="G160" s="684"/>
      <c r="H160" s="684"/>
      <c r="I160" s="684"/>
      <c r="J160" s="684"/>
      <c r="K160" s="684"/>
      <c r="L160" s="684"/>
      <c r="M160" s="684"/>
      <c r="N160" s="37"/>
      <c r="O160" s="684"/>
      <c r="P160" s="37"/>
      <c r="Q160" s="684"/>
      <c r="R160" s="684"/>
      <c r="S160" s="684"/>
      <c r="T160" s="684"/>
      <c r="U160" s="37"/>
      <c r="V160" s="684"/>
      <c r="W160" s="37"/>
      <c r="X160" s="684"/>
      <c r="Y160" s="37"/>
      <c r="Z160" s="684"/>
      <c r="AA160" s="897"/>
      <c r="AB160" s="870"/>
      <c r="AC160" s="684"/>
      <c r="AD160" s="684"/>
      <c r="AE160" s="684"/>
      <c r="AF160" s="684"/>
      <c r="AG160" s="684"/>
      <c r="AH160" s="807">
        <f t="shared" si="40"/>
        <v>0</v>
      </c>
      <c r="AI160" s="937"/>
      <c r="AJ160" s="42"/>
      <c r="AK160" s="494"/>
      <c r="AL160" s="764"/>
      <c r="AM160" s="769">
        <f t="shared" si="41"/>
        <v>0</v>
      </c>
      <c r="AN160" s="881"/>
      <c r="AO160" s="882"/>
      <c r="AP160" s="883"/>
      <c r="AQ160" s="883"/>
      <c r="AR160" s="883"/>
      <c r="AS160" s="883"/>
      <c r="AT160" s="883"/>
      <c r="AU160" s="883"/>
      <c r="AV160" s="883"/>
      <c r="AW160" s="883"/>
      <c r="AX160" s="883"/>
      <c r="AY160" s="883"/>
      <c r="AZ160" s="883"/>
      <c r="BA160" s="870">
        <f t="shared" si="42"/>
        <v>0</v>
      </c>
    </row>
    <row r="161" spans="1:53" ht="18.75" x14ac:dyDescent="0.3">
      <c r="A161" s="1079"/>
      <c r="B161" s="171"/>
      <c r="C161" s="955"/>
      <c r="D161" s="140"/>
      <c r="E161" s="684"/>
      <c r="F161" s="684"/>
      <c r="G161" s="684"/>
      <c r="H161" s="684"/>
      <c r="I161" s="1078"/>
      <c r="J161" s="684"/>
      <c r="K161" s="684"/>
      <c r="L161" s="684"/>
      <c r="M161" s="684"/>
      <c r="N161" s="37"/>
      <c r="O161" s="684"/>
      <c r="P161" s="37"/>
      <c r="Q161" s="684"/>
      <c r="R161" s="684"/>
      <c r="S161" s="684"/>
      <c r="T161" s="684"/>
      <c r="U161" s="37"/>
      <c r="V161" s="684"/>
      <c r="W161" s="37"/>
      <c r="X161" s="684"/>
      <c r="Y161" s="37"/>
      <c r="Z161" s="684"/>
      <c r="AA161" s="897"/>
      <c r="AB161" s="870"/>
      <c r="AC161" s="684"/>
      <c r="AD161" s="684"/>
      <c r="AE161" s="684"/>
      <c r="AF161" s="684"/>
      <c r="AG161" s="684"/>
      <c r="AH161" s="807">
        <f t="shared" si="40"/>
        <v>0</v>
      </c>
      <c r="AI161" s="937"/>
      <c r="AJ161" s="42"/>
      <c r="AK161" s="494"/>
      <c r="AL161" s="764"/>
      <c r="AM161" s="769">
        <f t="shared" si="41"/>
        <v>0</v>
      </c>
      <c r="AN161" s="881"/>
      <c r="AO161" s="882"/>
      <c r="AP161" s="883"/>
      <c r="AQ161" s="883"/>
      <c r="AR161" s="883"/>
      <c r="AS161" s="883"/>
      <c r="AT161" s="883"/>
      <c r="AU161" s="883"/>
      <c r="AV161" s="883"/>
      <c r="AW161" s="883"/>
      <c r="AX161" s="883"/>
      <c r="AY161" s="883"/>
      <c r="AZ161" s="883"/>
      <c r="BA161" s="870">
        <f t="shared" si="42"/>
        <v>0</v>
      </c>
    </row>
    <row r="162" spans="1:53" ht="18.75" x14ac:dyDescent="0.3">
      <c r="A162" s="1079"/>
      <c r="B162" s="171"/>
      <c r="C162" s="955"/>
      <c r="D162" s="140"/>
      <c r="E162" s="684"/>
      <c r="F162" s="684"/>
      <c r="G162" s="684"/>
      <c r="H162" s="684"/>
      <c r="I162" s="684"/>
      <c r="J162" s="684"/>
      <c r="K162" s="684"/>
      <c r="L162" s="684"/>
      <c r="M162" s="684"/>
      <c r="N162" s="37"/>
      <c r="O162" s="684"/>
      <c r="P162" s="55"/>
      <c r="Q162" s="684"/>
      <c r="R162" s="684"/>
      <c r="S162" s="684"/>
      <c r="T162" s="684"/>
      <c r="U162" s="37"/>
      <c r="V162" s="684"/>
      <c r="W162" s="37"/>
      <c r="X162" s="684"/>
      <c r="Y162" s="37"/>
      <c r="Z162" s="684"/>
      <c r="AA162" s="897"/>
      <c r="AB162" s="870"/>
      <c r="AC162" s="684"/>
      <c r="AD162" s="684"/>
      <c r="AE162" s="684"/>
      <c r="AF162" s="684"/>
      <c r="AG162" s="684"/>
      <c r="AH162" s="807">
        <f t="shared" si="40"/>
        <v>0</v>
      </c>
      <c r="AI162" s="937"/>
      <c r="AJ162" s="42"/>
      <c r="AK162" s="494"/>
      <c r="AL162" s="764"/>
      <c r="AM162" s="769">
        <f t="shared" si="41"/>
        <v>0</v>
      </c>
      <c r="AN162" s="881"/>
      <c r="AO162" s="882"/>
      <c r="AP162" s="883"/>
      <c r="AQ162" s="883"/>
      <c r="AR162" s="883"/>
      <c r="AS162" s="883"/>
      <c r="AT162" s="883"/>
      <c r="AU162" s="883"/>
      <c r="AV162" s="883"/>
      <c r="AW162" s="883"/>
      <c r="AX162" s="883"/>
      <c r="AY162" s="883"/>
      <c r="AZ162" s="883"/>
      <c r="BA162" s="870">
        <f t="shared" si="42"/>
        <v>0</v>
      </c>
    </row>
    <row r="163" spans="1:53" ht="18.75" x14ac:dyDescent="0.3">
      <c r="A163" s="1079"/>
      <c r="B163" s="171"/>
      <c r="C163" s="955"/>
      <c r="D163" s="140"/>
      <c r="E163" s="684"/>
      <c r="F163" s="684"/>
      <c r="G163" s="684"/>
      <c r="H163" s="684"/>
      <c r="I163" s="684"/>
      <c r="J163" s="684"/>
      <c r="K163" s="684"/>
      <c r="L163" s="1078"/>
      <c r="M163" s="684"/>
      <c r="N163" s="37"/>
      <c r="O163" s="684"/>
      <c r="P163" s="37"/>
      <c r="Q163" s="684"/>
      <c r="R163" s="684"/>
      <c r="S163" s="684"/>
      <c r="T163" s="684"/>
      <c r="U163" s="37"/>
      <c r="V163" s="684"/>
      <c r="W163" s="37"/>
      <c r="X163" s="684"/>
      <c r="Y163" s="37"/>
      <c r="Z163" s="684"/>
      <c r="AA163" s="897"/>
      <c r="AB163" s="870"/>
      <c r="AC163" s="684"/>
      <c r="AD163" s="684"/>
      <c r="AE163" s="684"/>
      <c r="AF163" s="684"/>
      <c r="AG163" s="684"/>
      <c r="AH163" s="807">
        <f t="shared" si="40"/>
        <v>0</v>
      </c>
      <c r="AI163" s="937"/>
      <c r="AJ163" s="42"/>
      <c r="AK163" s="494"/>
      <c r="AL163" s="764"/>
      <c r="AM163" s="769">
        <f t="shared" si="41"/>
        <v>0</v>
      </c>
      <c r="AN163" s="881"/>
      <c r="AO163" s="882"/>
      <c r="AP163" s="883"/>
      <c r="AQ163" s="883"/>
      <c r="AR163" s="883"/>
      <c r="AS163" s="883"/>
      <c r="AT163" s="883"/>
      <c r="AU163" s="883"/>
      <c r="AV163" s="883"/>
      <c r="AW163" s="883"/>
      <c r="AX163" s="883"/>
      <c r="AY163" s="883"/>
      <c r="AZ163" s="883"/>
      <c r="BA163" s="870">
        <f t="shared" si="42"/>
        <v>0</v>
      </c>
    </row>
    <row r="164" spans="1:53" ht="18.75" x14ac:dyDescent="0.3">
      <c r="A164" s="1079"/>
      <c r="B164" s="171"/>
      <c r="C164" s="955"/>
      <c r="D164" s="140"/>
      <c r="E164" s="684"/>
      <c r="F164" s="684"/>
      <c r="G164" s="684"/>
      <c r="H164" s="684"/>
      <c r="I164" s="684"/>
      <c r="J164" s="684"/>
      <c r="K164" s="684"/>
      <c r="L164" s="684"/>
      <c r="M164" s="1080"/>
      <c r="N164" s="37"/>
      <c r="O164" s="684"/>
      <c r="P164" s="37"/>
      <c r="Q164" s="684"/>
      <c r="R164" s="684"/>
      <c r="S164" s="684"/>
      <c r="T164" s="684"/>
      <c r="U164" s="37"/>
      <c r="V164" s="684"/>
      <c r="W164" s="37"/>
      <c r="X164" s="684"/>
      <c r="Y164" s="37"/>
      <c r="Z164" s="684"/>
      <c r="AA164" s="897"/>
      <c r="AB164" s="870"/>
      <c r="AC164" s="684"/>
      <c r="AD164" s="684"/>
      <c r="AE164" s="684"/>
      <c r="AF164" s="684"/>
      <c r="AG164" s="684"/>
      <c r="AH164" s="807">
        <f t="shared" si="40"/>
        <v>0</v>
      </c>
      <c r="AI164" s="937"/>
      <c r="AJ164" s="42"/>
      <c r="AK164" s="494"/>
      <c r="AL164" s="764"/>
      <c r="AM164" s="769">
        <f t="shared" si="41"/>
        <v>0</v>
      </c>
      <c r="AN164" s="881"/>
      <c r="AO164" s="882"/>
      <c r="AP164" s="883"/>
      <c r="AQ164" s="883"/>
      <c r="AR164" s="883"/>
      <c r="AS164" s="883"/>
      <c r="AT164" s="883"/>
      <c r="AU164" s="883"/>
      <c r="AV164" s="883"/>
      <c r="AW164" s="883"/>
      <c r="AX164" s="883"/>
      <c r="AY164" s="883"/>
      <c r="AZ164" s="883"/>
      <c r="BA164" s="870">
        <f t="shared" si="42"/>
        <v>0</v>
      </c>
    </row>
    <row r="165" spans="1:53" ht="18.75" x14ac:dyDescent="0.3">
      <c r="A165" s="1079"/>
      <c r="B165" s="171"/>
      <c r="C165" s="955"/>
      <c r="D165" s="140"/>
      <c r="E165" s="684"/>
      <c r="F165" s="684"/>
      <c r="G165" s="684"/>
      <c r="H165" s="684"/>
      <c r="I165" s="684"/>
      <c r="J165" s="684"/>
      <c r="K165" s="684"/>
      <c r="L165" s="1080"/>
      <c r="M165" s="684"/>
      <c r="N165" s="37"/>
      <c r="O165" s="684"/>
      <c r="P165" s="37"/>
      <c r="Q165" s="684"/>
      <c r="R165" s="684"/>
      <c r="S165" s="684"/>
      <c r="T165" s="684"/>
      <c r="U165" s="37"/>
      <c r="V165" s="684"/>
      <c r="W165" s="37"/>
      <c r="X165" s="684"/>
      <c r="Y165" s="37"/>
      <c r="Z165" s="684"/>
      <c r="AA165" s="897"/>
      <c r="AB165" s="870"/>
      <c r="AC165" s="684"/>
      <c r="AD165" s="684"/>
      <c r="AE165" s="684"/>
      <c r="AF165" s="684"/>
      <c r="AG165" s="684"/>
      <c r="AH165" s="807">
        <f t="shared" si="40"/>
        <v>0</v>
      </c>
      <c r="AI165" s="937"/>
      <c r="AJ165" s="42"/>
      <c r="AK165" s="494"/>
      <c r="AL165" s="764"/>
      <c r="AM165" s="769">
        <f t="shared" si="41"/>
        <v>0</v>
      </c>
      <c r="AN165" s="881"/>
      <c r="AO165" s="882"/>
      <c r="AP165" s="883"/>
      <c r="AQ165" s="883"/>
      <c r="AR165" s="883"/>
      <c r="AS165" s="883"/>
      <c r="AT165" s="883"/>
      <c r="AU165" s="883"/>
      <c r="AV165" s="883"/>
      <c r="AW165" s="883"/>
      <c r="AX165" s="883"/>
      <c r="AY165" s="883"/>
      <c r="AZ165" s="883"/>
      <c r="BA165" s="870">
        <f t="shared" si="42"/>
        <v>0</v>
      </c>
    </row>
    <row r="166" spans="1:53" ht="18.75" x14ac:dyDescent="0.3">
      <c r="A166" s="1031"/>
      <c r="B166" s="1081"/>
      <c r="C166" s="1033"/>
      <c r="D166" s="1034"/>
      <c r="E166" s="916"/>
      <c r="F166" s="916"/>
      <c r="G166" s="916"/>
      <c r="H166" s="916"/>
      <c r="I166" s="916"/>
      <c r="J166" s="916"/>
      <c r="K166" s="916"/>
      <c r="L166" s="916"/>
      <c r="M166" s="916"/>
      <c r="N166" s="888"/>
      <c r="O166" s="916"/>
      <c r="P166" s="888"/>
      <c r="Q166" s="916"/>
      <c r="R166" s="916"/>
      <c r="S166" s="916"/>
      <c r="T166" s="916"/>
      <c r="U166" s="888"/>
      <c r="V166" s="916"/>
      <c r="W166" s="888"/>
      <c r="X166" s="916"/>
      <c r="Y166" s="888"/>
      <c r="Z166" s="916"/>
      <c r="AA166" s="898"/>
      <c r="AB166" s="888"/>
      <c r="AC166" s="916"/>
      <c r="AD166" s="916"/>
      <c r="AE166" s="916"/>
      <c r="AF166" s="916"/>
      <c r="AG166" s="916"/>
      <c r="AH166" s="1049">
        <f t="shared" si="40"/>
        <v>0</v>
      </c>
      <c r="AI166" s="937"/>
      <c r="AJ166" s="42"/>
      <c r="AK166" s="494"/>
      <c r="AL166" s="764"/>
      <c r="AM166" s="769">
        <f t="shared" si="41"/>
        <v>0</v>
      </c>
      <c r="AN166" s="881"/>
      <c r="AO166" s="882"/>
      <c r="AP166" s="870"/>
      <c r="AQ166" s="870"/>
      <c r="AR166" s="870"/>
      <c r="AS166" s="870"/>
      <c r="AT166" s="870"/>
      <c r="AU166" s="870"/>
      <c r="AV166" s="870"/>
      <c r="AW166" s="870"/>
      <c r="AX166" s="870"/>
      <c r="AY166" s="870"/>
      <c r="AZ166" s="870"/>
      <c r="BA166" s="870">
        <f t="shared" si="42"/>
        <v>0</v>
      </c>
    </row>
    <row r="167" spans="1:53" ht="18.75" customHeight="1" x14ac:dyDescent="0.3">
      <c r="A167" s="742"/>
      <c r="B167" s="506"/>
      <c r="C167" s="482"/>
      <c r="D167" s="507" t="s">
        <v>229</v>
      </c>
      <c r="E167" s="156">
        <f t="shared" ref="E167:AG167" si="43">SUM(E146:E166)</f>
        <v>0</v>
      </c>
      <c r="F167" s="156">
        <f t="shared" si="43"/>
        <v>0</v>
      </c>
      <c r="G167" s="156">
        <f t="shared" si="43"/>
        <v>0</v>
      </c>
      <c r="H167" s="156">
        <f t="shared" si="43"/>
        <v>0</v>
      </c>
      <c r="I167" s="156">
        <f t="shared" si="43"/>
        <v>0</v>
      </c>
      <c r="J167" s="156">
        <f t="shared" si="43"/>
        <v>0</v>
      </c>
      <c r="K167" s="156">
        <f t="shared" si="43"/>
        <v>0</v>
      </c>
      <c r="L167" s="156">
        <f t="shared" si="43"/>
        <v>0</v>
      </c>
      <c r="M167" s="156">
        <f t="shared" si="43"/>
        <v>0</v>
      </c>
      <c r="N167" s="508">
        <f t="shared" si="43"/>
        <v>0</v>
      </c>
      <c r="O167" s="156">
        <f t="shared" si="43"/>
        <v>0</v>
      </c>
      <c r="P167" s="156">
        <f t="shared" si="43"/>
        <v>0</v>
      </c>
      <c r="Q167" s="156">
        <f t="shared" si="43"/>
        <v>0</v>
      </c>
      <c r="R167" s="156">
        <f t="shared" si="43"/>
        <v>0</v>
      </c>
      <c r="S167" s="156">
        <f t="shared" si="43"/>
        <v>0</v>
      </c>
      <c r="T167" s="156">
        <f t="shared" si="43"/>
        <v>0</v>
      </c>
      <c r="U167" s="156">
        <f t="shared" si="43"/>
        <v>0</v>
      </c>
      <c r="V167" s="156">
        <f t="shared" si="43"/>
        <v>0</v>
      </c>
      <c r="W167" s="156">
        <f t="shared" si="43"/>
        <v>0</v>
      </c>
      <c r="X167" s="156">
        <f t="shared" si="43"/>
        <v>0</v>
      </c>
      <c r="Y167" s="156">
        <f t="shared" si="43"/>
        <v>0</v>
      </c>
      <c r="Z167" s="156">
        <f t="shared" si="43"/>
        <v>0</v>
      </c>
      <c r="AA167" s="902">
        <f t="shared" si="43"/>
        <v>0</v>
      </c>
      <c r="AB167" s="508">
        <f t="shared" si="43"/>
        <v>0</v>
      </c>
      <c r="AC167" s="156">
        <f t="shared" si="43"/>
        <v>0</v>
      </c>
      <c r="AD167" s="156">
        <f t="shared" si="43"/>
        <v>0</v>
      </c>
      <c r="AE167" s="156">
        <f t="shared" si="43"/>
        <v>0</v>
      </c>
      <c r="AF167" s="156">
        <f t="shared" si="43"/>
        <v>0</v>
      </c>
      <c r="AG167" s="156">
        <f t="shared" si="43"/>
        <v>0</v>
      </c>
      <c r="AH167" s="786">
        <f t="shared" si="40"/>
        <v>0</v>
      </c>
      <c r="AI167" s="1082"/>
      <c r="AJ167" s="490"/>
      <c r="AK167" s="509"/>
      <c r="AL167" s="765"/>
      <c r="AM167" s="769"/>
      <c r="AN167" s="396"/>
      <c r="AO167" s="397"/>
      <c r="AP167" s="37"/>
      <c r="AQ167" s="491"/>
      <c r="AR167" s="491"/>
      <c r="AS167" s="491"/>
      <c r="AT167" s="491"/>
      <c r="AU167" s="491"/>
      <c r="AV167" s="491"/>
      <c r="AW167" s="491"/>
      <c r="AX167" s="491"/>
      <c r="AY167" s="491"/>
      <c r="AZ167" s="491"/>
      <c r="BA167" s="491"/>
    </row>
    <row r="168" spans="1:53" ht="18.75" customHeight="1" x14ac:dyDescent="0.3">
      <c r="A168" s="742"/>
      <c r="B168" s="506"/>
      <c r="C168" s="482"/>
      <c r="D168" s="507" t="s">
        <v>230</v>
      </c>
      <c r="E168" s="150">
        <f t="shared" ref="E168:AG168" si="44">SUM(E144+E167)</f>
        <v>88126.2</v>
      </c>
      <c r="F168" s="150">
        <f t="shared" si="44"/>
        <v>104149.33</v>
      </c>
      <c r="G168" s="150">
        <f t="shared" si="44"/>
        <v>6305</v>
      </c>
      <c r="H168" s="150">
        <f t="shared" si="44"/>
        <v>0</v>
      </c>
      <c r="I168" s="150">
        <f t="shared" si="44"/>
        <v>0</v>
      </c>
      <c r="J168" s="150">
        <f t="shared" si="44"/>
        <v>2600</v>
      </c>
      <c r="K168" s="150">
        <f t="shared" si="44"/>
        <v>0</v>
      </c>
      <c r="L168" s="150">
        <f t="shared" si="44"/>
        <v>54590</v>
      </c>
      <c r="M168" s="150">
        <f t="shared" si="44"/>
        <v>330000</v>
      </c>
      <c r="N168" s="510">
        <f t="shared" si="44"/>
        <v>23600</v>
      </c>
      <c r="O168" s="150">
        <f t="shared" si="44"/>
        <v>55717</v>
      </c>
      <c r="P168" s="150">
        <f t="shared" si="44"/>
        <v>87210</v>
      </c>
      <c r="Q168" s="150">
        <f t="shared" si="44"/>
        <v>0</v>
      </c>
      <c r="R168" s="150">
        <f t="shared" si="44"/>
        <v>0</v>
      </c>
      <c r="S168" s="150">
        <f t="shared" si="44"/>
        <v>0</v>
      </c>
      <c r="T168" s="150">
        <f t="shared" si="44"/>
        <v>214000</v>
      </c>
      <c r="U168" s="150">
        <f t="shared" si="44"/>
        <v>0</v>
      </c>
      <c r="V168" s="150">
        <f t="shared" si="44"/>
        <v>98000</v>
      </c>
      <c r="W168" s="150">
        <f t="shared" si="44"/>
        <v>1657002</v>
      </c>
      <c r="X168" s="150">
        <f t="shared" si="44"/>
        <v>1620000</v>
      </c>
      <c r="Y168" s="150">
        <f t="shared" si="44"/>
        <v>0</v>
      </c>
      <c r="Z168" s="150">
        <f t="shared" si="44"/>
        <v>99296</v>
      </c>
      <c r="AA168" s="903">
        <f t="shared" si="44"/>
        <v>152876.25</v>
      </c>
      <c r="AB168" s="510">
        <f t="shared" si="44"/>
        <v>350000</v>
      </c>
      <c r="AC168" s="150">
        <f t="shared" si="44"/>
        <v>364200</v>
      </c>
      <c r="AD168" s="150">
        <f t="shared" si="44"/>
        <v>0</v>
      </c>
      <c r="AE168" s="150">
        <f t="shared" si="44"/>
        <v>515869</v>
      </c>
      <c r="AF168" s="150">
        <f t="shared" si="44"/>
        <v>0</v>
      </c>
      <c r="AG168" s="150">
        <f t="shared" si="44"/>
        <v>0</v>
      </c>
      <c r="AH168" s="786">
        <f t="shared" si="40"/>
        <v>5823540.7800000003</v>
      </c>
      <c r="AI168" s="1082"/>
      <c r="AJ168" s="490"/>
      <c r="AK168" s="509"/>
      <c r="AL168" s="765"/>
      <c r="AM168" s="769"/>
      <c r="AN168" s="396"/>
      <c r="AO168" s="397"/>
      <c r="AP168" s="37"/>
      <c r="AQ168" s="55"/>
      <c r="AR168" s="55"/>
      <c r="AS168" s="55"/>
      <c r="AT168" s="55"/>
      <c r="AU168" s="55"/>
      <c r="AV168" s="55"/>
      <c r="AW168" s="55"/>
      <c r="AX168" s="55"/>
      <c r="AY168" s="55"/>
      <c r="AZ168" s="55"/>
      <c r="BA168" s="55"/>
    </row>
    <row r="169" spans="1:53" ht="18.75" customHeight="1" x14ac:dyDescent="0.3">
      <c r="A169" s="743"/>
      <c r="B169" s="511"/>
      <c r="C169" s="484"/>
      <c r="D169" s="512" t="s">
        <v>231</v>
      </c>
      <c r="E169" s="153">
        <f t="shared" ref="E169:AG169" si="45">SUM(E145-E167)</f>
        <v>478673.8</v>
      </c>
      <c r="F169" s="153">
        <f t="shared" si="45"/>
        <v>45850.669999999991</v>
      </c>
      <c r="G169" s="153">
        <f t="shared" si="45"/>
        <v>321695</v>
      </c>
      <c r="H169" s="153">
        <f t="shared" si="45"/>
        <v>0</v>
      </c>
      <c r="I169" s="153">
        <f t="shared" si="45"/>
        <v>0</v>
      </c>
      <c r="J169" s="153">
        <f t="shared" si="45"/>
        <v>-2600</v>
      </c>
      <c r="K169" s="153">
        <f t="shared" si="45"/>
        <v>0</v>
      </c>
      <c r="L169" s="153">
        <f t="shared" si="45"/>
        <v>193310</v>
      </c>
      <c r="M169" s="153">
        <f t="shared" si="45"/>
        <v>-330000</v>
      </c>
      <c r="N169" s="513">
        <f t="shared" si="45"/>
        <v>-23600</v>
      </c>
      <c r="O169" s="153">
        <f t="shared" si="45"/>
        <v>194283</v>
      </c>
      <c r="P169" s="153">
        <f t="shared" si="45"/>
        <v>52790</v>
      </c>
      <c r="Q169" s="153">
        <f t="shared" si="45"/>
        <v>0</v>
      </c>
      <c r="R169" s="153">
        <f t="shared" si="45"/>
        <v>0</v>
      </c>
      <c r="S169" s="153">
        <f t="shared" si="45"/>
        <v>0</v>
      </c>
      <c r="T169" s="153">
        <f t="shared" si="45"/>
        <v>0</v>
      </c>
      <c r="U169" s="153">
        <f t="shared" si="45"/>
        <v>388945</v>
      </c>
      <c r="V169" s="153">
        <f t="shared" si="45"/>
        <v>-23100</v>
      </c>
      <c r="W169" s="153">
        <f t="shared" si="45"/>
        <v>-463343</v>
      </c>
      <c r="X169" s="153">
        <f t="shared" si="45"/>
        <v>-115200</v>
      </c>
      <c r="Y169" s="153">
        <f t="shared" si="45"/>
        <v>189600</v>
      </c>
      <c r="Z169" s="153">
        <f t="shared" si="45"/>
        <v>0</v>
      </c>
      <c r="AA169" s="904">
        <f t="shared" si="45"/>
        <v>7123.75</v>
      </c>
      <c r="AB169" s="513">
        <f t="shared" si="45"/>
        <v>-175200</v>
      </c>
      <c r="AC169" s="153">
        <f t="shared" si="45"/>
        <v>-166200</v>
      </c>
      <c r="AD169" s="153">
        <f t="shared" si="45"/>
        <v>0</v>
      </c>
      <c r="AE169" s="153">
        <f t="shared" si="45"/>
        <v>7984131</v>
      </c>
      <c r="AF169" s="153">
        <f t="shared" si="45"/>
        <v>716400</v>
      </c>
      <c r="AG169" s="153">
        <f t="shared" si="45"/>
        <v>1113800</v>
      </c>
      <c r="AH169" s="787">
        <f t="shared" si="40"/>
        <v>10387359.220000001</v>
      </c>
      <c r="AI169" s="1082"/>
      <c r="AJ169" s="490"/>
      <c r="AK169" s="509"/>
      <c r="AL169" s="765"/>
      <c r="AM169" s="769"/>
      <c r="AN169" s="396"/>
      <c r="AO169" s="397"/>
      <c r="AP169" s="37"/>
      <c r="AQ169" s="55"/>
      <c r="AR169" s="55"/>
      <c r="AS169" s="55"/>
      <c r="AT169" s="55"/>
      <c r="AU169" s="55"/>
      <c r="AV169" s="55"/>
      <c r="AW169" s="55"/>
      <c r="AX169" s="55"/>
      <c r="AY169" s="55"/>
      <c r="AZ169" s="55"/>
      <c r="BA169" s="55"/>
    </row>
    <row r="170" spans="1:53" ht="18.75" customHeight="1" x14ac:dyDescent="0.3">
      <c r="A170" s="1035" t="s">
        <v>232</v>
      </c>
      <c r="B170" s="171"/>
      <c r="C170" s="955"/>
      <c r="D170" s="41"/>
      <c r="E170" s="684"/>
      <c r="F170" s="684"/>
      <c r="G170" s="684"/>
      <c r="H170" s="684"/>
      <c r="I170" s="684"/>
      <c r="J170" s="966"/>
      <c r="K170" s="966"/>
      <c r="L170" s="966"/>
      <c r="M170" s="684"/>
      <c r="N170" s="37"/>
      <c r="O170" s="684"/>
      <c r="P170" s="37"/>
      <c r="Q170" s="684"/>
      <c r="R170" s="684"/>
      <c r="S170" s="684"/>
      <c r="T170" s="684"/>
      <c r="U170" s="37"/>
      <c r="V170" s="684"/>
      <c r="W170" s="37"/>
      <c r="X170" s="684"/>
      <c r="Y170" s="37"/>
      <c r="Z170" s="684"/>
      <c r="AA170" s="897"/>
      <c r="AB170" s="870"/>
      <c r="AC170" s="684"/>
      <c r="AD170" s="684"/>
      <c r="AE170" s="684"/>
      <c r="AF170" s="684"/>
      <c r="AG170" s="684"/>
      <c r="AH170" s="1036"/>
      <c r="AI170" s="937"/>
      <c r="AJ170" s="42"/>
      <c r="AK170" s="494"/>
      <c r="AL170" s="764"/>
      <c r="AM170" s="769"/>
      <c r="AN170" s="481"/>
      <c r="AO170" s="395"/>
      <c r="AP170" s="37"/>
      <c r="AQ170" s="37"/>
      <c r="AR170" s="37"/>
      <c r="AS170" s="476"/>
      <c r="AT170" s="476"/>
      <c r="AU170" s="476"/>
      <c r="AV170" s="476"/>
      <c r="AW170" s="476"/>
      <c r="AX170" s="476"/>
      <c r="AY170" s="476"/>
      <c r="AZ170" s="476"/>
      <c r="BA170" s="476"/>
    </row>
    <row r="171" spans="1:53" ht="18.75" x14ac:dyDescent="0.3">
      <c r="A171" s="957"/>
      <c r="B171" s="171"/>
      <c r="C171" s="955"/>
      <c r="D171" s="34"/>
      <c r="E171" s="684"/>
      <c r="F171" s="684"/>
      <c r="G171" s="684"/>
      <c r="H171" s="684"/>
      <c r="I171" s="684"/>
      <c r="J171" s="684"/>
      <c r="K171" s="684"/>
      <c r="L171" s="684"/>
      <c r="M171" s="684"/>
      <c r="N171" s="37"/>
      <c r="O171" s="684"/>
      <c r="P171" s="37"/>
      <c r="Q171" s="684"/>
      <c r="R171" s="684"/>
      <c r="S171" s="684"/>
      <c r="T171" s="684"/>
      <c r="U171" s="37"/>
      <c r="V171" s="684"/>
      <c r="W171" s="37"/>
      <c r="X171" s="684"/>
      <c r="Y171" s="37"/>
      <c r="Z171" s="684"/>
      <c r="AA171" s="897"/>
      <c r="AB171" s="870"/>
      <c r="AC171" s="684"/>
      <c r="AD171" s="684"/>
      <c r="AE171" s="684"/>
      <c r="AF171" s="684"/>
      <c r="AG171" s="684"/>
      <c r="AH171" s="807">
        <f t="shared" ref="AH171:AH193" si="46">SUM(E171:AG171)</f>
        <v>0</v>
      </c>
      <c r="AI171" s="937"/>
      <c r="AJ171" s="42"/>
      <c r="AK171" s="494"/>
      <c r="AL171" s="764"/>
      <c r="AM171" s="769">
        <f>AH171-AK171-AL171</f>
        <v>0</v>
      </c>
      <c r="AN171" s="881"/>
      <c r="AO171" s="882"/>
      <c r="AP171" s="870"/>
      <c r="AQ171" s="870"/>
      <c r="AR171" s="870"/>
      <c r="AS171" s="870"/>
      <c r="AT171" s="870"/>
      <c r="AU171" s="870"/>
      <c r="AV171" s="870"/>
      <c r="AW171" s="870"/>
      <c r="AX171" s="870"/>
      <c r="AY171" s="870"/>
      <c r="AZ171" s="870"/>
      <c r="BA171" s="870">
        <f>SUM(AO171:AZ171)</f>
        <v>0</v>
      </c>
    </row>
    <row r="172" spans="1:53" ht="18.75" x14ac:dyDescent="0.3">
      <c r="A172" s="957"/>
      <c r="B172" s="171"/>
      <c r="C172" s="955"/>
      <c r="D172" s="34"/>
      <c r="E172" s="684"/>
      <c r="F172" s="684"/>
      <c r="G172" s="684"/>
      <c r="H172" s="684"/>
      <c r="I172" s="684"/>
      <c r="J172" s="684"/>
      <c r="K172" s="684"/>
      <c r="L172" s="684"/>
      <c r="M172" s="684"/>
      <c r="N172" s="37"/>
      <c r="O172" s="684"/>
      <c r="P172" s="37"/>
      <c r="Q172" s="684"/>
      <c r="R172" s="684"/>
      <c r="S172" s="684"/>
      <c r="T172" s="684"/>
      <c r="U172" s="37"/>
      <c r="V172" s="684"/>
      <c r="W172" s="37"/>
      <c r="X172" s="684"/>
      <c r="Y172" s="37"/>
      <c r="Z172" s="684"/>
      <c r="AA172" s="897"/>
      <c r="AB172" s="870"/>
      <c r="AC172" s="684"/>
      <c r="AD172" s="684"/>
      <c r="AE172" s="684"/>
      <c r="AF172" s="684"/>
      <c r="AG172" s="684"/>
      <c r="AH172" s="807">
        <f t="shared" si="46"/>
        <v>0</v>
      </c>
      <c r="AI172" s="937"/>
      <c r="AJ172" s="42"/>
      <c r="AK172" s="494"/>
      <c r="AL172" s="764"/>
      <c r="AM172" s="769">
        <f t="shared" ref="AM172:AM190" si="47">AH172-AK172-AL172</f>
        <v>0</v>
      </c>
      <c r="AN172" s="881"/>
      <c r="AO172" s="882"/>
      <c r="AP172" s="870"/>
      <c r="AQ172" s="870"/>
      <c r="AR172" s="870"/>
      <c r="AS172" s="870"/>
      <c r="AT172" s="870"/>
      <c r="AU172" s="870"/>
      <c r="AV172" s="870"/>
      <c r="AW172" s="870"/>
      <c r="AX172" s="870"/>
      <c r="AY172" s="870"/>
      <c r="AZ172" s="870"/>
      <c r="BA172" s="870">
        <f t="shared" ref="BA172:BA190" si="48">SUM(AO172:AZ172)</f>
        <v>0</v>
      </c>
    </row>
    <row r="173" spans="1:53" ht="18.75" x14ac:dyDescent="0.3">
      <c r="A173" s="957"/>
      <c r="B173" s="171"/>
      <c r="C173" s="955"/>
      <c r="D173" s="34"/>
      <c r="E173" s="684"/>
      <c r="F173" s="684"/>
      <c r="G173" s="684"/>
      <c r="H173" s="684"/>
      <c r="I173" s="684"/>
      <c r="J173" s="684"/>
      <c r="K173" s="684"/>
      <c r="L173" s="684"/>
      <c r="M173" s="684"/>
      <c r="N173" s="37"/>
      <c r="O173" s="684"/>
      <c r="P173" s="37"/>
      <c r="Q173" s="684"/>
      <c r="R173" s="684"/>
      <c r="S173" s="684"/>
      <c r="T173" s="684"/>
      <c r="U173" s="37"/>
      <c r="V173" s="684"/>
      <c r="W173" s="37"/>
      <c r="X173" s="684"/>
      <c r="Y173" s="37"/>
      <c r="Z173" s="684"/>
      <c r="AA173" s="897"/>
      <c r="AB173" s="870"/>
      <c r="AC173" s="684"/>
      <c r="AD173" s="684"/>
      <c r="AE173" s="684"/>
      <c r="AF173" s="684"/>
      <c r="AG173" s="684"/>
      <c r="AH173" s="807">
        <f t="shared" si="46"/>
        <v>0</v>
      </c>
      <c r="AI173" s="937"/>
      <c r="AJ173" s="65"/>
      <c r="AK173" s="494"/>
      <c r="AL173" s="764"/>
      <c r="AM173" s="769">
        <f t="shared" si="47"/>
        <v>0</v>
      </c>
      <c r="AN173" s="881"/>
      <c r="AO173" s="882"/>
      <c r="AP173" s="870"/>
      <c r="AQ173" s="870"/>
      <c r="AR173" s="870"/>
      <c r="AS173" s="870"/>
      <c r="AT173" s="870"/>
      <c r="AU173" s="870"/>
      <c r="AV173" s="870"/>
      <c r="AW173" s="870"/>
      <c r="AX173" s="870"/>
      <c r="AY173" s="870"/>
      <c r="AZ173" s="870"/>
      <c r="BA173" s="870">
        <f t="shared" si="48"/>
        <v>0</v>
      </c>
    </row>
    <row r="174" spans="1:53" ht="18.75" x14ac:dyDescent="0.3">
      <c r="A174" s="957"/>
      <c r="B174" s="871"/>
      <c r="C174" s="840"/>
      <c r="D174" s="34"/>
      <c r="E174" s="684"/>
      <c r="F174" s="684"/>
      <c r="G174" s="684"/>
      <c r="H174" s="684"/>
      <c r="I174" s="684"/>
      <c r="J174" s="684"/>
      <c r="K174" s="684"/>
      <c r="L174" s="684"/>
      <c r="M174" s="684"/>
      <c r="N174" s="37"/>
      <c r="O174" s="684"/>
      <c r="P174" s="37"/>
      <c r="Q174" s="684"/>
      <c r="R174" s="684"/>
      <c r="S174" s="684"/>
      <c r="T174" s="684"/>
      <c r="U174" s="37"/>
      <c r="V174" s="684"/>
      <c r="W174" s="37"/>
      <c r="X174" s="684"/>
      <c r="Y174" s="37"/>
      <c r="Z174" s="684"/>
      <c r="AA174" s="897"/>
      <c r="AB174" s="870"/>
      <c r="AC174" s="684"/>
      <c r="AD174" s="684"/>
      <c r="AE174" s="684"/>
      <c r="AF174" s="684"/>
      <c r="AG174" s="684"/>
      <c r="AH174" s="807">
        <f t="shared" si="46"/>
        <v>0</v>
      </c>
      <c r="AI174" s="940"/>
      <c r="AJ174" s="874"/>
      <c r="AK174" s="875"/>
      <c r="AL174" s="764"/>
      <c r="AM174" s="769">
        <f t="shared" si="47"/>
        <v>0</v>
      </c>
      <c r="AN174" s="881"/>
      <c r="AO174" s="882"/>
      <c r="AP174" s="870"/>
      <c r="AQ174" s="870"/>
      <c r="AR174" s="870"/>
      <c r="AS174" s="870"/>
      <c r="AT174" s="870"/>
      <c r="AU174" s="870"/>
      <c r="AV174" s="870"/>
      <c r="AW174" s="870"/>
      <c r="AX174" s="870"/>
      <c r="AY174" s="870"/>
      <c r="AZ174" s="870"/>
      <c r="BA174" s="870">
        <f t="shared" si="48"/>
        <v>0</v>
      </c>
    </row>
    <row r="175" spans="1:53" ht="18.75" x14ac:dyDescent="0.3">
      <c r="A175" s="957"/>
      <c r="B175" s="871"/>
      <c r="C175" s="955"/>
      <c r="D175" s="34"/>
      <c r="E175" s="684"/>
      <c r="F175" s="684"/>
      <c r="G175" s="684"/>
      <c r="H175" s="684"/>
      <c r="I175" s="684"/>
      <c r="J175" s="684"/>
      <c r="K175" s="684"/>
      <c r="L175" s="684"/>
      <c r="M175" s="684"/>
      <c r="N175" s="37"/>
      <c r="O175" s="684"/>
      <c r="P175" s="37"/>
      <c r="Q175" s="684"/>
      <c r="R175" s="684"/>
      <c r="S175" s="684"/>
      <c r="T175" s="684"/>
      <c r="U175" s="37"/>
      <c r="V175" s="684"/>
      <c r="W175" s="37"/>
      <c r="X175" s="684"/>
      <c r="Y175" s="37"/>
      <c r="Z175" s="684"/>
      <c r="AA175" s="897"/>
      <c r="AB175" s="870"/>
      <c r="AC175" s="684"/>
      <c r="AD175" s="684"/>
      <c r="AE175" s="684"/>
      <c r="AF175" s="684"/>
      <c r="AG175" s="684"/>
      <c r="AH175" s="807">
        <f t="shared" si="46"/>
        <v>0</v>
      </c>
      <c r="AI175" s="940"/>
      <c r="AJ175" s="874"/>
      <c r="AK175" s="494"/>
      <c r="AL175" s="764"/>
      <c r="AM175" s="769">
        <f t="shared" si="47"/>
        <v>0</v>
      </c>
      <c r="AN175" s="881"/>
      <c r="AO175" s="882"/>
      <c r="AP175" s="870"/>
      <c r="AQ175" s="886"/>
      <c r="AR175" s="870"/>
      <c r="AS175" s="870"/>
      <c r="AT175" s="870"/>
      <c r="AU175" s="870"/>
      <c r="AV175" s="870"/>
      <c r="AW175" s="870"/>
      <c r="AX175" s="870"/>
      <c r="AY175" s="870"/>
      <c r="AZ175" s="870"/>
      <c r="BA175" s="870">
        <f t="shared" si="48"/>
        <v>0</v>
      </c>
    </row>
    <row r="176" spans="1:53" ht="18.75" x14ac:dyDescent="0.3">
      <c r="A176" s="957"/>
      <c r="B176" s="871"/>
      <c r="C176" s="955"/>
      <c r="D176" s="34"/>
      <c r="E176" s="684"/>
      <c r="F176" s="684"/>
      <c r="G176" s="684"/>
      <c r="H176" s="684"/>
      <c r="I176" s="684"/>
      <c r="J176" s="684"/>
      <c r="K176" s="684"/>
      <c r="L176" s="684"/>
      <c r="M176" s="684"/>
      <c r="N176" s="37"/>
      <c r="O176" s="684"/>
      <c r="P176" s="37"/>
      <c r="Q176" s="684"/>
      <c r="R176" s="684"/>
      <c r="S176" s="684"/>
      <c r="T176" s="684"/>
      <c r="U176" s="37"/>
      <c r="V176" s="684"/>
      <c r="W176" s="37"/>
      <c r="X176" s="684"/>
      <c r="Y176" s="37"/>
      <c r="Z176" s="684"/>
      <c r="AA176" s="897"/>
      <c r="AB176" s="870"/>
      <c r="AC176" s="684"/>
      <c r="AD176" s="684"/>
      <c r="AE176" s="684"/>
      <c r="AF176" s="684"/>
      <c r="AG176" s="684"/>
      <c r="AH176" s="807">
        <f t="shared" si="46"/>
        <v>0</v>
      </c>
      <c r="AI176" s="940"/>
      <c r="AJ176" s="874"/>
      <c r="AK176" s="494"/>
      <c r="AL176" s="764"/>
      <c r="AM176" s="769">
        <f t="shared" si="47"/>
        <v>0</v>
      </c>
      <c r="AN176" s="881"/>
      <c r="AO176" s="882"/>
      <c r="AP176" s="870"/>
      <c r="AQ176" s="870"/>
      <c r="AR176" s="870"/>
      <c r="AS176" s="870"/>
      <c r="AT176" s="870"/>
      <c r="AU176" s="870"/>
      <c r="AV176" s="870"/>
      <c r="AW176" s="870"/>
      <c r="AX176" s="870"/>
      <c r="AY176" s="870"/>
      <c r="AZ176" s="870"/>
      <c r="BA176" s="870">
        <f t="shared" si="48"/>
        <v>0</v>
      </c>
    </row>
    <row r="177" spans="1:53" ht="18.75" x14ac:dyDescent="0.3">
      <c r="A177" s="957"/>
      <c r="B177" s="871"/>
      <c r="C177" s="955"/>
      <c r="D177" s="34"/>
      <c r="E177" s="684"/>
      <c r="F177" s="684"/>
      <c r="G177" s="684"/>
      <c r="H177" s="684"/>
      <c r="I177" s="684"/>
      <c r="J177" s="684"/>
      <c r="K177" s="684"/>
      <c r="L177" s="684"/>
      <c r="M177" s="684"/>
      <c r="N177" s="37"/>
      <c r="O177" s="684"/>
      <c r="P177" s="37"/>
      <c r="Q177" s="684"/>
      <c r="R177" s="684"/>
      <c r="S177" s="684"/>
      <c r="T177" s="684"/>
      <c r="U177" s="37"/>
      <c r="V177" s="684"/>
      <c r="W177" s="37"/>
      <c r="X177" s="684"/>
      <c r="Y177" s="37"/>
      <c r="Z177" s="684"/>
      <c r="AA177" s="897"/>
      <c r="AB177" s="870"/>
      <c r="AC177" s="684"/>
      <c r="AD177" s="684"/>
      <c r="AE177" s="684"/>
      <c r="AF177" s="684"/>
      <c r="AG177" s="684"/>
      <c r="AH177" s="807">
        <f t="shared" si="46"/>
        <v>0</v>
      </c>
      <c r="AI177" s="937"/>
      <c r="AJ177" s="876"/>
      <c r="AK177" s="494"/>
      <c r="AL177" s="764"/>
      <c r="AM177" s="769">
        <f t="shared" si="47"/>
        <v>0</v>
      </c>
      <c r="AN177" s="881"/>
      <c r="AO177" s="882"/>
      <c r="AP177" s="870"/>
      <c r="AQ177" s="870"/>
      <c r="AR177" s="870"/>
      <c r="AS177" s="870"/>
      <c r="AT177" s="870"/>
      <c r="AU177" s="870"/>
      <c r="AV177" s="870"/>
      <c r="AW177" s="870"/>
      <c r="AX177" s="870"/>
      <c r="AY177" s="870"/>
      <c r="AZ177" s="870"/>
      <c r="BA177" s="870">
        <f t="shared" si="48"/>
        <v>0</v>
      </c>
    </row>
    <row r="178" spans="1:53" ht="18.75" x14ac:dyDescent="0.3">
      <c r="A178" s="957"/>
      <c r="B178" s="871"/>
      <c r="C178" s="955"/>
      <c r="D178" s="34"/>
      <c r="E178" s="684"/>
      <c r="F178" s="684"/>
      <c r="G178" s="684"/>
      <c r="H178" s="684"/>
      <c r="I178" s="684"/>
      <c r="J178" s="684"/>
      <c r="K178" s="684"/>
      <c r="L178" s="684"/>
      <c r="M178" s="684"/>
      <c r="N178" s="37"/>
      <c r="O178" s="684"/>
      <c r="P178" s="37"/>
      <c r="Q178" s="684"/>
      <c r="R178" s="684"/>
      <c r="S178" s="684"/>
      <c r="T178" s="684"/>
      <c r="U178" s="37"/>
      <c r="V178" s="684"/>
      <c r="W178" s="37"/>
      <c r="X178" s="684"/>
      <c r="Y178" s="37"/>
      <c r="Z178" s="684"/>
      <c r="AA178" s="897"/>
      <c r="AB178" s="870"/>
      <c r="AC178" s="684"/>
      <c r="AD178" s="684"/>
      <c r="AE178" s="684"/>
      <c r="AF178" s="684"/>
      <c r="AG178" s="684"/>
      <c r="AH178" s="1036">
        <f t="shared" si="46"/>
        <v>0</v>
      </c>
      <c r="AI178" s="940"/>
      <c r="AJ178" s="874"/>
      <c r="AK178" s="494"/>
      <c r="AL178" s="764"/>
      <c r="AM178" s="769">
        <f t="shared" si="47"/>
        <v>0</v>
      </c>
      <c r="AN178" s="881"/>
      <c r="AO178" s="882"/>
      <c r="AP178" s="870"/>
      <c r="AQ178" s="870"/>
      <c r="AR178" s="870"/>
      <c r="AS178" s="870"/>
      <c r="AT178" s="870"/>
      <c r="AU178" s="870"/>
      <c r="AV178" s="870"/>
      <c r="AW178" s="870"/>
      <c r="AX178" s="870"/>
      <c r="AY178" s="870"/>
      <c r="AZ178" s="870"/>
      <c r="BA178" s="870">
        <f t="shared" si="48"/>
        <v>0</v>
      </c>
    </row>
    <row r="179" spans="1:53" ht="18.75" x14ac:dyDescent="0.3">
      <c r="A179" s="957"/>
      <c r="B179" s="871"/>
      <c r="C179" s="955"/>
      <c r="D179" s="34"/>
      <c r="E179" s="684"/>
      <c r="F179" s="684"/>
      <c r="G179" s="684"/>
      <c r="H179" s="684"/>
      <c r="I179" s="684"/>
      <c r="J179" s="684"/>
      <c r="K179" s="684"/>
      <c r="L179" s="684"/>
      <c r="M179" s="684"/>
      <c r="N179" s="37"/>
      <c r="O179" s="684"/>
      <c r="P179" s="37"/>
      <c r="Q179" s="684"/>
      <c r="R179" s="684"/>
      <c r="S179" s="684"/>
      <c r="T179" s="684"/>
      <c r="U179" s="37"/>
      <c r="V179" s="684"/>
      <c r="W179" s="37"/>
      <c r="X179" s="684"/>
      <c r="Y179" s="37"/>
      <c r="Z179" s="684"/>
      <c r="AA179" s="897"/>
      <c r="AB179" s="870"/>
      <c r="AC179" s="684"/>
      <c r="AD179" s="684"/>
      <c r="AE179" s="684"/>
      <c r="AF179" s="684"/>
      <c r="AG179" s="684"/>
      <c r="AH179" s="807">
        <f t="shared" si="46"/>
        <v>0</v>
      </c>
      <c r="AI179" s="940"/>
      <c r="AJ179" s="874"/>
      <c r="AK179" s="494"/>
      <c r="AL179" s="764"/>
      <c r="AM179" s="769">
        <f t="shared" si="47"/>
        <v>0</v>
      </c>
      <c r="AN179" s="881"/>
      <c r="AO179" s="886"/>
      <c r="AP179" s="886"/>
      <c r="AQ179" s="870"/>
      <c r="AR179" s="870"/>
      <c r="AS179" s="870"/>
      <c r="AT179" s="870"/>
      <c r="AU179" s="870"/>
      <c r="AV179" s="870"/>
      <c r="AW179" s="870"/>
      <c r="AX179" s="870"/>
      <c r="AY179" s="870"/>
      <c r="AZ179" s="870"/>
      <c r="BA179" s="870">
        <f t="shared" si="48"/>
        <v>0</v>
      </c>
    </row>
    <row r="180" spans="1:53" ht="18.75" x14ac:dyDescent="0.3">
      <c r="A180" s="1079"/>
      <c r="B180" s="171"/>
      <c r="C180" s="955"/>
      <c r="D180" s="34"/>
      <c r="E180" s="684"/>
      <c r="F180" s="684"/>
      <c r="G180" s="684"/>
      <c r="H180" s="684"/>
      <c r="I180" s="684"/>
      <c r="J180" s="684"/>
      <c r="K180" s="684"/>
      <c r="L180" s="684"/>
      <c r="M180" s="684"/>
      <c r="N180" s="37"/>
      <c r="O180" s="684"/>
      <c r="P180" s="37"/>
      <c r="Q180" s="684"/>
      <c r="R180" s="684"/>
      <c r="S180" s="684"/>
      <c r="T180" s="684"/>
      <c r="U180" s="37"/>
      <c r="V180" s="684"/>
      <c r="W180" s="37"/>
      <c r="X180" s="684"/>
      <c r="Y180" s="37"/>
      <c r="Z180" s="684"/>
      <c r="AA180" s="897"/>
      <c r="AB180" s="870"/>
      <c r="AC180" s="684"/>
      <c r="AD180" s="684"/>
      <c r="AE180" s="684"/>
      <c r="AF180" s="684"/>
      <c r="AG180" s="684"/>
      <c r="AH180" s="807">
        <f t="shared" si="46"/>
        <v>0</v>
      </c>
      <c r="AI180" s="937"/>
      <c r="AJ180" s="42"/>
      <c r="AK180" s="494"/>
      <c r="AL180" s="764"/>
      <c r="AM180" s="769">
        <f t="shared" si="47"/>
        <v>0</v>
      </c>
      <c r="AN180" s="881"/>
      <c r="AO180" s="882"/>
      <c r="AP180" s="883"/>
      <c r="AQ180" s="883"/>
      <c r="AR180" s="883"/>
      <c r="AS180" s="883"/>
      <c r="AT180" s="883"/>
      <c r="AU180" s="883"/>
      <c r="AV180" s="883"/>
      <c r="AW180" s="883"/>
      <c r="AX180" s="883"/>
      <c r="AY180" s="883"/>
      <c r="AZ180" s="883"/>
      <c r="BA180" s="870">
        <f t="shared" si="48"/>
        <v>0</v>
      </c>
    </row>
    <row r="181" spans="1:53" ht="18.75" x14ac:dyDescent="0.3">
      <c r="A181" s="1079"/>
      <c r="B181" s="171"/>
      <c r="C181" s="955"/>
      <c r="D181" s="41"/>
      <c r="E181" s="684"/>
      <c r="F181" s="684"/>
      <c r="G181" s="684"/>
      <c r="H181" s="684"/>
      <c r="I181" s="684"/>
      <c r="J181" s="684"/>
      <c r="K181" s="684"/>
      <c r="L181" s="684"/>
      <c r="M181" s="684"/>
      <c r="N181" s="37"/>
      <c r="O181" s="684"/>
      <c r="P181" s="37"/>
      <c r="Q181" s="684"/>
      <c r="R181" s="684"/>
      <c r="S181" s="684"/>
      <c r="T181" s="684"/>
      <c r="U181" s="37"/>
      <c r="V181" s="684"/>
      <c r="W181" s="37"/>
      <c r="X181" s="684"/>
      <c r="Y181" s="37"/>
      <c r="Z181" s="684"/>
      <c r="AA181" s="897"/>
      <c r="AB181" s="870"/>
      <c r="AC181" s="684"/>
      <c r="AD181" s="684"/>
      <c r="AE181" s="684"/>
      <c r="AF181" s="684"/>
      <c r="AG181" s="684"/>
      <c r="AH181" s="807">
        <f t="shared" si="46"/>
        <v>0</v>
      </c>
      <c r="AI181" s="937"/>
      <c r="AJ181" s="42"/>
      <c r="AK181" s="494"/>
      <c r="AL181" s="764"/>
      <c r="AM181" s="769">
        <f t="shared" si="47"/>
        <v>0</v>
      </c>
      <c r="AN181" s="881"/>
      <c r="AO181" s="882"/>
      <c r="AP181" s="883"/>
      <c r="AQ181" s="883"/>
      <c r="AR181" s="883"/>
      <c r="AS181" s="883"/>
      <c r="AT181" s="883"/>
      <c r="AU181" s="883"/>
      <c r="AV181" s="883"/>
      <c r="AW181" s="883"/>
      <c r="AX181" s="883"/>
      <c r="AY181" s="883"/>
      <c r="AZ181" s="883"/>
      <c r="BA181" s="870">
        <f t="shared" si="48"/>
        <v>0</v>
      </c>
    </row>
    <row r="182" spans="1:53" ht="18.75" x14ac:dyDescent="0.3">
      <c r="A182" s="1079"/>
      <c r="B182" s="171"/>
      <c r="C182" s="955"/>
      <c r="D182" s="34"/>
      <c r="E182" s="684"/>
      <c r="F182" s="684"/>
      <c r="G182" s="684"/>
      <c r="H182" s="684"/>
      <c r="I182" s="684"/>
      <c r="J182" s="684"/>
      <c r="K182" s="684"/>
      <c r="L182" s="684"/>
      <c r="M182" s="684"/>
      <c r="N182" s="37"/>
      <c r="O182" s="684"/>
      <c r="P182" s="37"/>
      <c r="Q182" s="684"/>
      <c r="R182" s="684"/>
      <c r="S182" s="684"/>
      <c r="T182" s="684"/>
      <c r="U182" s="37"/>
      <c r="V182" s="684"/>
      <c r="W182" s="37"/>
      <c r="X182" s="684"/>
      <c r="Y182" s="37"/>
      <c r="Z182" s="684"/>
      <c r="AA182" s="897"/>
      <c r="AB182" s="870"/>
      <c r="AC182" s="684"/>
      <c r="AD182" s="684"/>
      <c r="AE182" s="684"/>
      <c r="AF182" s="684"/>
      <c r="AG182" s="684"/>
      <c r="AH182" s="807">
        <f t="shared" si="46"/>
        <v>0</v>
      </c>
      <c r="AI182" s="937"/>
      <c r="AJ182" s="42"/>
      <c r="AK182" s="494"/>
      <c r="AL182" s="764"/>
      <c r="AM182" s="769">
        <f t="shared" si="47"/>
        <v>0</v>
      </c>
      <c r="AN182" s="881"/>
      <c r="AO182" s="882"/>
      <c r="AP182" s="883"/>
      <c r="AQ182" s="883"/>
      <c r="AR182" s="883"/>
      <c r="AS182" s="883"/>
      <c r="AT182" s="883"/>
      <c r="AU182" s="883"/>
      <c r="AV182" s="883"/>
      <c r="AW182" s="883"/>
      <c r="AX182" s="883"/>
      <c r="AY182" s="883"/>
      <c r="AZ182" s="883"/>
      <c r="BA182" s="870">
        <f t="shared" si="48"/>
        <v>0</v>
      </c>
    </row>
    <row r="183" spans="1:53" ht="18.75" x14ac:dyDescent="0.3">
      <c r="A183" s="1079"/>
      <c r="B183" s="171"/>
      <c r="C183" s="955"/>
      <c r="D183" s="34"/>
      <c r="E183" s="684"/>
      <c r="F183" s="684"/>
      <c r="G183" s="684"/>
      <c r="H183" s="684"/>
      <c r="I183" s="684"/>
      <c r="J183" s="684"/>
      <c r="K183" s="684"/>
      <c r="L183" s="684"/>
      <c r="M183" s="684"/>
      <c r="N183" s="37"/>
      <c r="O183" s="684"/>
      <c r="P183" s="37"/>
      <c r="Q183" s="684"/>
      <c r="R183" s="684"/>
      <c r="S183" s="684"/>
      <c r="T183" s="684"/>
      <c r="U183" s="37"/>
      <c r="V183" s="684"/>
      <c r="W183" s="37"/>
      <c r="X183" s="684"/>
      <c r="Y183" s="37"/>
      <c r="Z183" s="684"/>
      <c r="AA183" s="897"/>
      <c r="AB183" s="870"/>
      <c r="AC183" s="684"/>
      <c r="AD183" s="684"/>
      <c r="AE183" s="684"/>
      <c r="AF183" s="684"/>
      <c r="AG183" s="684"/>
      <c r="AH183" s="807">
        <f t="shared" si="46"/>
        <v>0</v>
      </c>
      <c r="AI183" s="937"/>
      <c r="AJ183" s="42"/>
      <c r="AK183" s="494"/>
      <c r="AL183" s="764"/>
      <c r="AM183" s="769">
        <f t="shared" si="47"/>
        <v>0</v>
      </c>
      <c r="AN183" s="881"/>
      <c r="AO183" s="882"/>
      <c r="AP183" s="883"/>
      <c r="AQ183" s="883"/>
      <c r="AR183" s="883"/>
      <c r="AS183" s="883"/>
      <c r="AT183" s="883"/>
      <c r="AU183" s="883"/>
      <c r="AV183" s="883"/>
      <c r="AW183" s="883"/>
      <c r="AX183" s="883"/>
      <c r="AY183" s="883"/>
      <c r="AZ183" s="883"/>
      <c r="BA183" s="870">
        <f t="shared" si="48"/>
        <v>0</v>
      </c>
    </row>
    <row r="184" spans="1:53" ht="18.75" x14ac:dyDescent="0.3">
      <c r="A184" s="1079"/>
      <c r="B184" s="171"/>
      <c r="C184" s="955"/>
      <c r="D184" s="34"/>
      <c r="E184" s="684"/>
      <c r="F184" s="684"/>
      <c r="G184" s="684"/>
      <c r="H184" s="684"/>
      <c r="I184" s="684"/>
      <c r="J184" s="684"/>
      <c r="K184" s="684"/>
      <c r="L184" s="684"/>
      <c r="M184" s="684"/>
      <c r="N184" s="37"/>
      <c r="O184" s="684"/>
      <c r="P184" s="37"/>
      <c r="Q184" s="684"/>
      <c r="R184" s="684"/>
      <c r="S184" s="684"/>
      <c r="T184" s="684"/>
      <c r="U184" s="37"/>
      <c r="V184" s="684"/>
      <c r="W184" s="37"/>
      <c r="X184" s="684"/>
      <c r="Y184" s="37"/>
      <c r="Z184" s="684"/>
      <c r="AA184" s="897"/>
      <c r="AB184" s="870"/>
      <c r="AC184" s="684"/>
      <c r="AD184" s="684"/>
      <c r="AE184" s="684"/>
      <c r="AF184" s="684"/>
      <c r="AG184" s="684"/>
      <c r="AH184" s="807">
        <f t="shared" si="46"/>
        <v>0</v>
      </c>
      <c r="AI184" s="937"/>
      <c r="AJ184" s="42"/>
      <c r="AK184" s="494"/>
      <c r="AL184" s="764"/>
      <c r="AM184" s="769">
        <f t="shared" si="47"/>
        <v>0</v>
      </c>
      <c r="AN184" s="881"/>
      <c r="AO184" s="882"/>
      <c r="AP184" s="883"/>
      <c r="AQ184" s="883"/>
      <c r="AR184" s="883"/>
      <c r="AS184" s="883"/>
      <c r="AT184" s="883"/>
      <c r="AU184" s="883"/>
      <c r="AV184" s="883"/>
      <c r="AW184" s="883"/>
      <c r="AX184" s="883"/>
      <c r="AY184" s="883"/>
      <c r="AZ184" s="883"/>
      <c r="BA184" s="870">
        <f t="shared" si="48"/>
        <v>0</v>
      </c>
    </row>
    <row r="185" spans="1:53" ht="18.75" x14ac:dyDescent="0.3">
      <c r="A185" s="1079"/>
      <c r="B185" s="171"/>
      <c r="C185" s="955"/>
      <c r="D185" s="140"/>
      <c r="E185" s="684"/>
      <c r="F185" s="684"/>
      <c r="G185" s="684"/>
      <c r="H185" s="684"/>
      <c r="I185" s="1078"/>
      <c r="J185" s="684"/>
      <c r="K185" s="684"/>
      <c r="L185" s="684"/>
      <c r="M185" s="684"/>
      <c r="N185" s="37"/>
      <c r="O185" s="684"/>
      <c r="P185" s="37"/>
      <c r="Q185" s="684"/>
      <c r="R185" s="684"/>
      <c r="S185" s="684"/>
      <c r="T185" s="684"/>
      <c r="U185" s="37"/>
      <c r="V185" s="684"/>
      <c r="W185" s="37"/>
      <c r="X185" s="684"/>
      <c r="Y185" s="37"/>
      <c r="Z185" s="684"/>
      <c r="AA185" s="897"/>
      <c r="AB185" s="870"/>
      <c r="AC185" s="684"/>
      <c r="AD185" s="684"/>
      <c r="AE185" s="684"/>
      <c r="AF185" s="684"/>
      <c r="AG185" s="684"/>
      <c r="AH185" s="807">
        <f t="shared" si="46"/>
        <v>0</v>
      </c>
      <c r="AI185" s="937"/>
      <c r="AJ185" s="42"/>
      <c r="AK185" s="494"/>
      <c r="AL185" s="764"/>
      <c r="AM185" s="769">
        <f t="shared" si="47"/>
        <v>0</v>
      </c>
      <c r="AN185" s="881"/>
      <c r="AO185" s="882"/>
      <c r="AP185" s="883"/>
      <c r="AQ185" s="883"/>
      <c r="AR185" s="883"/>
      <c r="AS185" s="883"/>
      <c r="AT185" s="883"/>
      <c r="AU185" s="883"/>
      <c r="AV185" s="883"/>
      <c r="AW185" s="883"/>
      <c r="AX185" s="883"/>
      <c r="AY185" s="883"/>
      <c r="AZ185" s="883"/>
      <c r="BA185" s="870">
        <f t="shared" si="48"/>
        <v>0</v>
      </c>
    </row>
    <row r="186" spans="1:53" ht="18.75" x14ac:dyDescent="0.3">
      <c r="A186" s="1079"/>
      <c r="B186" s="171"/>
      <c r="C186" s="955"/>
      <c r="D186" s="140"/>
      <c r="E186" s="684"/>
      <c r="F186" s="684"/>
      <c r="G186" s="684"/>
      <c r="H186" s="684"/>
      <c r="I186" s="684"/>
      <c r="J186" s="684"/>
      <c r="K186" s="684"/>
      <c r="L186" s="684"/>
      <c r="M186" s="684"/>
      <c r="N186" s="37"/>
      <c r="O186" s="684"/>
      <c r="P186" s="55"/>
      <c r="Q186" s="684"/>
      <c r="R186" s="684"/>
      <c r="S186" s="684"/>
      <c r="T186" s="684"/>
      <c r="U186" s="37"/>
      <c r="V186" s="684"/>
      <c r="W186" s="37"/>
      <c r="X186" s="684"/>
      <c r="Y186" s="37"/>
      <c r="Z186" s="684"/>
      <c r="AA186" s="897"/>
      <c r="AB186" s="870"/>
      <c r="AC186" s="684"/>
      <c r="AD186" s="684"/>
      <c r="AE186" s="684"/>
      <c r="AF186" s="684"/>
      <c r="AG186" s="684"/>
      <c r="AH186" s="807">
        <f t="shared" si="46"/>
        <v>0</v>
      </c>
      <c r="AI186" s="937"/>
      <c r="AJ186" s="42"/>
      <c r="AK186" s="494"/>
      <c r="AL186" s="764"/>
      <c r="AM186" s="769">
        <f t="shared" si="47"/>
        <v>0</v>
      </c>
      <c r="AN186" s="881"/>
      <c r="AO186" s="882"/>
      <c r="AP186" s="883"/>
      <c r="AQ186" s="883"/>
      <c r="AR186" s="883"/>
      <c r="AS186" s="883"/>
      <c r="AT186" s="883"/>
      <c r="AU186" s="883"/>
      <c r="AV186" s="883"/>
      <c r="AW186" s="883"/>
      <c r="AX186" s="883"/>
      <c r="AY186" s="883"/>
      <c r="AZ186" s="883"/>
      <c r="BA186" s="870">
        <f t="shared" si="48"/>
        <v>0</v>
      </c>
    </row>
    <row r="187" spans="1:53" ht="18.75" x14ac:dyDescent="0.3">
      <c r="A187" s="1079"/>
      <c r="B187" s="171"/>
      <c r="C187" s="955"/>
      <c r="D187" s="140"/>
      <c r="E187" s="684"/>
      <c r="F187" s="684"/>
      <c r="G187" s="684"/>
      <c r="H187" s="684"/>
      <c r="I187" s="684"/>
      <c r="J187" s="684"/>
      <c r="K187" s="684"/>
      <c r="L187" s="1078"/>
      <c r="M187" s="684"/>
      <c r="N187" s="37"/>
      <c r="O187" s="684"/>
      <c r="P187" s="37"/>
      <c r="Q187" s="684"/>
      <c r="R187" s="684"/>
      <c r="S187" s="684"/>
      <c r="T187" s="684"/>
      <c r="U187" s="37"/>
      <c r="V187" s="684"/>
      <c r="W187" s="37"/>
      <c r="X187" s="684"/>
      <c r="Y187" s="37"/>
      <c r="Z187" s="684"/>
      <c r="AA187" s="897"/>
      <c r="AB187" s="870"/>
      <c r="AC187" s="684"/>
      <c r="AD187" s="684"/>
      <c r="AE187" s="684"/>
      <c r="AF187" s="684"/>
      <c r="AG187" s="684"/>
      <c r="AH187" s="807">
        <f t="shared" si="46"/>
        <v>0</v>
      </c>
      <c r="AI187" s="937"/>
      <c r="AJ187" s="42"/>
      <c r="AK187" s="494"/>
      <c r="AL187" s="764"/>
      <c r="AM187" s="769">
        <f t="shared" si="47"/>
        <v>0</v>
      </c>
      <c r="AN187" s="881"/>
      <c r="AO187" s="882"/>
      <c r="AP187" s="883"/>
      <c r="AQ187" s="883"/>
      <c r="AR187" s="883"/>
      <c r="AS187" s="883"/>
      <c r="AT187" s="883"/>
      <c r="AU187" s="883"/>
      <c r="AV187" s="883"/>
      <c r="AW187" s="883"/>
      <c r="AX187" s="883"/>
      <c r="AY187" s="883"/>
      <c r="AZ187" s="883"/>
      <c r="BA187" s="870">
        <f t="shared" si="48"/>
        <v>0</v>
      </c>
    </row>
    <row r="188" spans="1:53" ht="18.75" x14ac:dyDescent="0.3">
      <c r="A188" s="1079"/>
      <c r="B188" s="171"/>
      <c r="C188" s="955"/>
      <c r="D188" s="140"/>
      <c r="E188" s="684"/>
      <c r="F188" s="684"/>
      <c r="G188" s="684"/>
      <c r="H188" s="684"/>
      <c r="I188" s="684"/>
      <c r="J188" s="684"/>
      <c r="K188" s="684"/>
      <c r="L188" s="684"/>
      <c r="M188" s="1080"/>
      <c r="N188" s="37"/>
      <c r="O188" s="684"/>
      <c r="P188" s="37"/>
      <c r="Q188" s="684"/>
      <c r="R188" s="684"/>
      <c r="S188" s="684"/>
      <c r="T188" s="684"/>
      <c r="U188" s="37"/>
      <c r="V188" s="684"/>
      <c r="W188" s="37"/>
      <c r="X188" s="684"/>
      <c r="Y188" s="37"/>
      <c r="Z188" s="684"/>
      <c r="AA188" s="897"/>
      <c r="AB188" s="870"/>
      <c r="AC188" s="684"/>
      <c r="AD188" s="684"/>
      <c r="AE188" s="684"/>
      <c r="AF188" s="684"/>
      <c r="AG188" s="684"/>
      <c r="AH188" s="807">
        <f t="shared" si="46"/>
        <v>0</v>
      </c>
      <c r="AI188" s="937"/>
      <c r="AJ188" s="42"/>
      <c r="AK188" s="494"/>
      <c r="AL188" s="764"/>
      <c r="AM188" s="769">
        <f t="shared" si="47"/>
        <v>0</v>
      </c>
      <c r="AN188" s="881"/>
      <c r="AO188" s="882"/>
      <c r="AP188" s="883"/>
      <c r="AQ188" s="883"/>
      <c r="AR188" s="883"/>
      <c r="AS188" s="883"/>
      <c r="AT188" s="883"/>
      <c r="AU188" s="883"/>
      <c r="AV188" s="883"/>
      <c r="AW188" s="883"/>
      <c r="AX188" s="883"/>
      <c r="AY188" s="883"/>
      <c r="AZ188" s="883"/>
      <c r="BA188" s="870">
        <f t="shared" si="48"/>
        <v>0</v>
      </c>
    </row>
    <row r="189" spans="1:53" ht="18.75" x14ac:dyDescent="0.3">
      <c r="A189" s="1079"/>
      <c r="B189" s="171"/>
      <c r="C189" s="955"/>
      <c r="D189" s="140"/>
      <c r="E189" s="684"/>
      <c r="F189" s="684"/>
      <c r="G189" s="684"/>
      <c r="H189" s="684"/>
      <c r="I189" s="684"/>
      <c r="J189" s="684"/>
      <c r="K189" s="684"/>
      <c r="L189" s="1080"/>
      <c r="M189" s="684"/>
      <c r="N189" s="37"/>
      <c r="O189" s="684"/>
      <c r="P189" s="37"/>
      <c r="Q189" s="684"/>
      <c r="R189" s="684"/>
      <c r="S189" s="684"/>
      <c r="T189" s="684"/>
      <c r="U189" s="37"/>
      <c r="V189" s="684"/>
      <c r="W189" s="37"/>
      <c r="X189" s="684"/>
      <c r="Y189" s="37"/>
      <c r="Z189" s="684"/>
      <c r="AA189" s="897"/>
      <c r="AB189" s="870"/>
      <c r="AC189" s="684"/>
      <c r="AD189" s="684"/>
      <c r="AE189" s="684"/>
      <c r="AF189" s="684"/>
      <c r="AG189" s="684"/>
      <c r="AH189" s="807">
        <f t="shared" si="46"/>
        <v>0</v>
      </c>
      <c r="AI189" s="937"/>
      <c r="AJ189" s="42"/>
      <c r="AK189" s="494"/>
      <c r="AL189" s="764"/>
      <c r="AM189" s="769">
        <f t="shared" si="47"/>
        <v>0</v>
      </c>
      <c r="AN189" s="881"/>
      <c r="AO189" s="882"/>
      <c r="AP189" s="883"/>
      <c r="AQ189" s="883"/>
      <c r="AR189" s="883"/>
      <c r="AS189" s="883"/>
      <c r="AT189" s="883"/>
      <c r="AU189" s="883"/>
      <c r="AV189" s="883"/>
      <c r="AW189" s="883"/>
      <c r="AX189" s="883"/>
      <c r="AY189" s="883"/>
      <c r="AZ189" s="883"/>
      <c r="BA189" s="870">
        <f t="shared" si="48"/>
        <v>0</v>
      </c>
    </row>
    <row r="190" spans="1:53" ht="18.75" x14ac:dyDescent="0.3">
      <c r="A190" s="1031"/>
      <c r="B190" s="1081"/>
      <c r="C190" s="1033"/>
      <c r="D190" s="1034"/>
      <c r="E190" s="916"/>
      <c r="F190" s="916"/>
      <c r="G190" s="916"/>
      <c r="H190" s="916"/>
      <c r="I190" s="916"/>
      <c r="J190" s="916"/>
      <c r="K190" s="916"/>
      <c r="L190" s="916"/>
      <c r="M190" s="916"/>
      <c r="N190" s="888"/>
      <c r="O190" s="916"/>
      <c r="P190" s="888"/>
      <c r="Q190" s="916"/>
      <c r="R190" s="916"/>
      <c r="S190" s="916"/>
      <c r="T190" s="916"/>
      <c r="U190" s="888"/>
      <c r="V190" s="916"/>
      <c r="W190" s="888"/>
      <c r="X190" s="916"/>
      <c r="Y190" s="888"/>
      <c r="Z190" s="916"/>
      <c r="AA190" s="898"/>
      <c r="AB190" s="888"/>
      <c r="AC190" s="916"/>
      <c r="AD190" s="916"/>
      <c r="AE190" s="916"/>
      <c r="AF190" s="916"/>
      <c r="AG190" s="916"/>
      <c r="AH190" s="1049">
        <f t="shared" si="46"/>
        <v>0</v>
      </c>
      <c r="AI190" s="937"/>
      <c r="AJ190" s="42"/>
      <c r="AK190" s="494"/>
      <c r="AL190" s="764"/>
      <c r="AM190" s="769">
        <f t="shared" si="47"/>
        <v>0</v>
      </c>
      <c r="AN190" s="881"/>
      <c r="AO190" s="882"/>
      <c r="AP190" s="870"/>
      <c r="AQ190" s="870"/>
      <c r="AR190" s="870"/>
      <c r="AS190" s="870"/>
      <c r="AT190" s="870"/>
      <c r="AU190" s="870"/>
      <c r="AV190" s="870"/>
      <c r="AW190" s="870"/>
      <c r="AX190" s="870"/>
      <c r="AY190" s="870"/>
      <c r="AZ190" s="870"/>
      <c r="BA190" s="870">
        <f t="shared" si="48"/>
        <v>0</v>
      </c>
    </row>
    <row r="191" spans="1:53" ht="18.75" customHeight="1" x14ac:dyDescent="0.3">
      <c r="A191" s="742"/>
      <c r="B191" s="506"/>
      <c r="C191" s="482"/>
      <c r="D191" s="507" t="s">
        <v>233</v>
      </c>
      <c r="E191" s="150">
        <f t="shared" ref="E191:AG191" si="49">SUM(E170:E190)</f>
        <v>0</v>
      </c>
      <c r="F191" s="150">
        <f t="shared" si="49"/>
        <v>0</v>
      </c>
      <c r="G191" s="150">
        <f t="shared" si="49"/>
        <v>0</v>
      </c>
      <c r="H191" s="150">
        <f t="shared" si="49"/>
        <v>0</v>
      </c>
      <c r="I191" s="150">
        <f t="shared" si="49"/>
        <v>0</v>
      </c>
      <c r="J191" s="150">
        <f t="shared" si="49"/>
        <v>0</v>
      </c>
      <c r="K191" s="150">
        <f t="shared" si="49"/>
        <v>0</v>
      </c>
      <c r="L191" s="150">
        <f t="shared" si="49"/>
        <v>0</v>
      </c>
      <c r="M191" s="150">
        <f t="shared" si="49"/>
        <v>0</v>
      </c>
      <c r="N191" s="510">
        <f t="shared" si="49"/>
        <v>0</v>
      </c>
      <c r="O191" s="150">
        <f t="shared" si="49"/>
        <v>0</v>
      </c>
      <c r="P191" s="150">
        <f t="shared" si="49"/>
        <v>0</v>
      </c>
      <c r="Q191" s="150">
        <f t="shared" si="49"/>
        <v>0</v>
      </c>
      <c r="R191" s="150">
        <f t="shared" si="49"/>
        <v>0</v>
      </c>
      <c r="S191" s="150">
        <f t="shared" si="49"/>
        <v>0</v>
      </c>
      <c r="T191" s="150">
        <f t="shared" si="49"/>
        <v>0</v>
      </c>
      <c r="U191" s="150">
        <f t="shared" si="49"/>
        <v>0</v>
      </c>
      <c r="V191" s="150">
        <f t="shared" si="49"/>
        <v>0</v>
      </c>
      <c r="W191" s="150">
        <f t="shared" si="49"/>
        <v>0</v>
      </c>
      <c r="X191" s="150">
        <f t="shared" si="49"/>
        <v>0</v>
      </c>
      <c r="Y191" s="150">
        <f t="shared" si="49"/>
        <v>0</v>
      </c>
      <c r="Z191" s="150">
        <f t="shared" si="49"/>
        <v>0</v>
      </c>
      <c r="AA191" s="903">
        <f t="shared" si="49"/>
        <v>0</v>
      </c>
      <c r="AB191" s="510">
        <f t="shared" si="49"/>
        <v>0</v>
      </c>
      <c r="AC191" s="150">
        <f t="shared" si="49"/>
        <v>0</v>
      </c>
      <c r="AD191" s="150">
        <f t="shared" si="49"/>
        <v>0</v>
      </c>
      <c r="AE191" s="150">
        <f t="shared" si="49"/>
        <v>0</v>
      </c>
      <c r="AF191" s="150">
        <f t="shared" si="49"/>
        <v>0</v>
      </c>
      <c r="AG191" s="150">
        <f t="shared" si="49"/>
        <v>0</v>
      </c>
      <c r="AH191" s="786">
        <f t="shared" si="46"/>
        <v>0</v>
      </c>
      <c r="AI191" s="1082"/>
      <c r="AJ191" s="490"/>
      <c r="AK191" s="509"/>
      <c r="AL191" s="765"/>
      <c r="AM191" s="769"/>
      <c r="AN191" s="396"/>
      <c r="AO191" s="397"/>
      <c r="AP191" s="37"/>
      <c r="AQ191" s="55"/>
      <c r="AR191" s="491"/>
      <c r="AS191" s="491"/>
      <c r="AT191" s="491"/>
      <c r="AU191" s="491"/>
      <c r="AV191" s="491"/>
      <c r="AW191" s="491"/>
      <c r="AX191" s="491"/>
      <c r="AY191" s="491"/>
      <c r="AZ191" s="491"/>
      <c r="BA191" s="491"/>
    </row>
    <row r="192" spans="1:53" ht="18.75" customHeight="1" x14ac:dyDescent="0.3">
      <c r="A192" s="742"/>
      <c r="B192" s="506"/>
      <c r="C192" s="482"/>
      <c r="D192" s="507" t="s">
        <v>234</v>
      </c>
      <c r="E192" s="150">
        <f t="shared" ref="E192:AG192" si="50">SUM(E168+E191)</f>
        <v>88126.2</v>
      </c>
      <c r="F192" s="150">
        <f t="shared" si="50"/>
        <v>104149.33</v>
      </c>
      <c r="G192" s="150">
        <f t="shared" si="50"/>
        <v>6305</v>
      </c>
      <c r="H192" s="150">
        <f t="shared" si="50"/>
        <v>0</v>
      </c>
      <c r="I192" s="150">
        <f t="shared" si="50"/>
        <v>0</v>
      </c>
      <c r="J192" s="150">
        <f t="shared" si="50"/>
        <v>2600</v>
      </c>
      <c r="K192" s="150">
        <f t="shared" si="50"/>
        <v>0</v>
      </c>
      <c r="L192" s="150">
        <f t="shared" si="50"/>
        <v>54590</v>
      </c>
      <c r="M192" s="150">
        <f t="shared" si="50"/>
        <v>330000</v>
      </c>
      <c r="N192" s="510">
        <f t="shared" si="50"/>
        <v>23600</v>
      </c>
      <c r="O192" s="150">
        <f t="shared" si="50"/>
        <v>55717</v>
      </c>
      <c r="P192" s="150">
        <f t="shared" si="50"/>
        <v>87210</v>
      </c>
      <c r="Q192" s="150">
        <f t="shared" si="50"/>
        <v>0</v>
      </c>
      <c r="R192" s="150">
        <f t="shared" si="50"/>
        <v>0</v>
      </c>
      <c r="S192" s="150">
        <f t="shared" si="50"/>
        <v>0</v>
      </c>
      <c r="T192" s="150">
        <f t="shared" si="50"/>
        <v>214000</v>
      </c>
      <c r="U192" s="150">
        <f t="shared" si="50"/>
        <v>0</v>
      </c>
      <c r="V192" s="150">
        <f t="shared" si="50"/>
        <v>98000</v>
      </c>
      <c r="W192" s="150">
        <f t="shared" si="50"/>
        <v>1657002</v>
      </c>
      <c r="X192" s="150">
        <f t="shared" si="50"/>
        <v>1620000</v>
      </c>
      <c r="Y192" s="150">
        <f t="shared" si="50"/>
        <v>0</v>
      </c>
      <c r="Z192" s="150">
        <f t="shared" si="50"/>
        <v>99296</v>
      </c>
      <c r="AA192" s="903">
        <f t="shared" si="50"/>
        <v>152876.25</v>
      </c>
      <c r="AB192" s="510">
        <f t="shared" si="50"/>
        <v>350000</v>
      </c>
      <c r="AC192" s="150">
        <f t="shared" si="50"/>
        <v>364200</v>
      </c>
      <c r="AD192" s="150">
        <f t="shared" si="50"/>
        <v>0</v>
      </c>
      <c r="AE192" s="150">
        <f t="shared" si="50"/>
        <v>515869</v>
      </c>
      <c r="AF192" s="150">
        <f t="shared" si="50"/>
        <v>0</v>
      </c>
      <c r="AG192" s="150">
        <f t="shared" si="50"/>
        <v>0</v>
      </c>
      <c r="AH192" s="786">
        <f t="shared" si="46"/>
        <v>5823540.7800000003</v>
      </c>
      <c r="AI192" s="1082"/>
      <c r="AJ192" s="490"/>
      <c r="AK192" s="509"/>
      <c r="AL192" s="765"/>
      <c r="AM192" s="769"/>
      <c r="AN192" s="396"/>
      <c r="AO192" s="397"/>
      <c r="AP192" s="37"/>
      <c r="AQ192" s="55"/>
      <c r="AR192" s="55"/>
      <c r="AS192" s="55"/>
      <c r="AT192" s="55"/>
      <c r="AU192" s="55"/>
      <c r="AV192" s="55"/>
      <c r="AW192" s="55"/>
      <c r="AX192" s="55"/>
      <c r="AY192" s="55"/>
      <c r="AZ192" s="55"/>
      <c r="BA192" s="55"/>
    </row>
    <row r="193" spans="1:53" ht="18.75" customHeight="1" x14ac:dyDescent="0.3">
      <c r="A193" s="743"/>
      <c r="B193" s="511"/>
      <c r="C193" s="484"/>
      <c r="D193" s="512" t="s">
        <v>235</v>
      </c>
      <c r="E193" s="153">
        <f t="shared" ref="E193:AG193" si="51">SUM(E169-E191)</f>
        <v>478673.8</v>
      </c>
      <c r="F193" s="153">
        <f t="shared" si="51"/>
        <v>45850.669999999991</v>
      </c>
      <c r="G193" s="153">
        <f t="shared" si="51"/>
        <v>321695</v>
      </c>
      <c r="H193" s="153">
        <f t="shared" si="51"/>
        <v>0</v>
      </c>
      <c r="I193" s="153">
        <f t="shared" si="51"/>
        <v>0</v>
      </c>
      <c r="J193" s="153">
        <f t="shared" si="51"/>
        <v>-2600</v>
      </c>
      <c r="K193" s="153">
        <f t="shared" si="51"/>
        <v>0</v>
      </c>
      <c r="L193" s="153">
        <f t="shared" si="51"/>
        <v>193310</v>
      </c>
      <c r="M193" s="153">
        <f t="shared" si="51"/>
        <v>-330000</v>
      </c>
      <c r="N193" s="513">
        <f t="shared" si="51"/>
        <v>-23600</v>
      </c>
      <c r="O193" s="153">
        <f t="shared" si="51"/>
        <v>194283</v>
      </c>
      <c r="P193" s="153">
        <f t="shared" si="51"/>
        <v>52790</v>
      </c>
      <c r="Q193" s="153">
        <f t="shared" si="51"/>
        <v>0</v>
      </c>
      <c r="R193" s="153">
        <f t="shared" si="51"/>
        <v>0</v>
      </c>
      <c r="S193" s="153">
        <f t="shared" si="51"/>
        <v>0</v>
      </c>
      <c r="T193" s="153">
        <f t="shared" si="51"/>
        <v>0</v>
      </c>
      <c r="U193" s="153">
        <f t="shared" si="51"/>
        <v>388945</v>
      </c>
      <c r="V193" s="153">
        <f t="shared" si="51"/>
        <v>-23100</v>
      </c>
      <c r="W193" s="153">
        <f t="shared" si="51"/>
        <v>-463343</v>
      </c>
      <c r="X193" s="153">
        <f t="shared" si="51"/>
        <v>-115200</v>
      </c>
      <c r="Y193" s="153">
        <f t="shared" si="51"/>
        <v>189600</v>
      </c>
      <c r="Z193" s="153">
        <f t="shared" si="51"/>
        <v>0</v>
      </c>
      <c r="AA193" s="904">
        <f t="shared" si="51"/>
        <v>7123.75</v>
      </c>
      <c r="AB193" s="513">
        <f t="shared" si="51"/>
        <v>-175200</v>
      </c>
      <c r="AC193" s="153">
        <f t="shared" si="51"/>
        <v>-166200</v>
      </c>
      <c r="AD193" s="153">
        <f t="shared" si="51"/>
        <v>0</v>
      </c>
      <c r="AE193" s="153">
        <f t="shared" si="51"/>
        <v>7984131</v>
      </c>
      <c r="AF193" s="153">
        <f t="shared" si="51"/>
        <v>716400</v>
      </c>
      <c r="AG193" s="153">
        <f t="shared" si="51"/>
        <v>1113800</v>
      </c>
      <c r="AH193" s="787">
        <f t="shared" si="46"/>
        <v>10387359.220000001</v>
      </c>
      <c r="AI193" s="1082"/>
      <c r="AJ193" s="490"/>
      <c r="AK193" s="509"/>
      <c r="AL193" s="765"/>
      <c r="AM193" s="769"/>
      <c r="AN193" s="396"/>
      <c r="AO193" s="397"/>
      <c r="AP193" s="37"/>
      <c r="AQ193" s="55"/>
      <c r="AR193" s="55"/>
      <c r="AS193" s="55"/>
      <c r="AT193" s="55"/>
      <c r="AU193" s="55"/>
      <c r="AV193" s="55"/>
      <c r="AW193" s="55"/>
      <c r="AX193" s="55"/>
      <c r="AY193" s="55"/>
      <c r="AZ193" s="55"/>
      <c r="BA193" s="55"/>
    </row>
    <row r="194" spans="1:53" ht="18.75" customHeight="1" x14ac:dyDescent="0.3">
      <c r="A194" s="1035" t="s">
        <v>236</v>
      </c>
      <c r="B194" s="171"/>
      <c r="C194" s="955"/>
      <c r="D194" s="41"/>
      <c r="E194" s="684"/>
      <c r="F194" s="684"/>
      <c r="G194" s="684"/>
      <c r="H194" s="684"/>
      <c r="I194" s="684"/>
      <c r="J194" s="966"/>
      <c r="K194" s="966"/>
      <c r="L194" s="966"/>
      <c r="M194" s="684"/>
      <c r="N194" s="37"/>
      <c r="O194" s="684"/>
      <c r="P194" s="37"/>
      <c r="Q194" s="684"/>
      <c r="R194" s="684"/>
      <c r="S194" s="684"/>
      <c r="T194" s="684"/>
      <c r="U194" s="37"/>
      <c r="V194" s="684"/>
      <c r="W194" s="37"/>
      <c r="X194" s="684"/>
      <c r="Y194" s="37"/>
      <c r="Z194" s="684"/>
      <c r="AA194" s="897"/>
      <c r="AB194" s="870"/>
      <c r="AC194" s="684"/>
      <c r="AD194" s="1055"/>
      <c r="AE194" s="684"/>
      <c r="AF194" s="684"/>
      <c r="AG194" s="684"/>
      <c r="AH194" s="1036"/>
      <c r="AI194" s="937"/>
      <c r="AJ194" s="42"/>
      <c r="AK194" s="494"/>
      <c r="AL194" s="764"/>
      <c r="AM194" s="769"/>
      <c r="AN194" s="481"/>
      <c r="AO194" s="395"/>
      <c r="AP194" s="37"/>
      <c r="AQ194" s="37"/>
      <c r="AR194" s="37"/>
      <c r="AS194" s="476"/>
      <c r="AT194" s="476"/>
      <c r="AU194" s="476"/>
      <c r="AV194" s="476"/>
      <c r="AW194" s="476"/>
      <c r="AX194" s="476"/>
      <c r="AY194" s="476"/>
      <c r="AZ194" s="476"/>
      <c r="BA194" s="476"/>
    </row>
    <row r="195" spans="1:53" ht="18.75" x14ac:dyDescent="0.3">
      <c r="A195" s="957"/>
      <c r="B195" s="171"/>
      <c r="C195" s="955"/>
      <c r="D195" s="34"/>
      <c r="E195" s="684"/>
      <c r="F195" s="684"/>
      <c r="G195" s="684"/>
      <c r="H195" s="684"/>
      <c r="I195" s="684"/>
      <c r="J195" s="684"/>
      <c r="K195" s="684"/>
      <c r="L195" s="684"/>
      <c r="M195" s="684"/>
      <c r="N195" s="37"/>
      <c r="O195" s="684"/>
      <c r="P195" s="37"/>
      <c r="Q195" s="684"/>
      <c r="R195" s="684"/>
      <c r="S195" s="684"/>
      <c r="T195" s="684"/>
      <c r="U195" s="37"/>
      <c r="V195" s="684"/>
      <c r="W195" s="37"/>
      <c r="X195" s="684"/>
      <c r="Y195" s="37"/>
      <c r="Z195" s="684"/>
      <c r="AA195" s="897"/>
      <c r="AB195" s="870"/>
      <c r="AC195" s="684"/>
      <c r="AD195" s="684"/>
      <c r="AE195" s="684"/>
      <c r="AF195" s="684"/>
      <c r="AG195" s="684"/>
      <c r="AH195" s="807">
        <f t="shared" ref="AH195:AH217" si="52">SUM(E195:AG195)</f>
        <v>0</v>
      </c>
      <c r="AI195" s="937"/>
      <c r="AJ195" s="42"/>
      <c r="AK195" s="494"/>
      <c r="AL195" s="764"/>
      <c r="AM195" s="769">
        <f>AH195-AK195-AL195</f>
        <v>0</v>
      </c>
      <c r="AN195" s="881"/>
      <c r="AO195" s="882"/>
      <c r="AP195" s="870"/>
      <c r="AQ195" s="870"/>
      <c r="AR195" s="870"/>
      <c r="AS195" s="870"/>
      <c r="AT195" s="870"/>
      <c r="AU195" s="870"/>
      <c r="AV195" s="870"/>
      <c r="AW195" s="870"/>
      <c r="AX195" s="870"/>
      <c r="AY195" s="870"/>
      <c r="AZ195" s="870"/>
      <c r="BA195" s="870">
        <f>SUM(AO195:AZ195)</f>
        <v>0</v>
      </c>
    </row>
    <row r="196" spans="1:53" ht="18.75" x14ac:dyDescent="0.3">
      <c r="A196" s="957"/>
      <c r="B196" s="171"/>
      <c r="C196" s="955"/>
      <c r="D196" s="34"/>
      <c r="E196" s="684"/>
      <c r="F196" s="684"/>
      <c r="G196" s="684"/>
      <c r="H196" s="684"/>
      <c r="I196" s="684"/>
      <c r="J196" s="684"/>
      <c r="K196" s="684"/>
      <c r="L196" s="684"/>
      <c r="M196" s="684"/>
      <c r="N196" s="37"/>
      <c r="O196" s="684"/>
      <c r="P196" s="37"/>
      <c r="Q196" s="684"/>
      <c r="R196" s="684"/>
      <c r="S196" s="684"/>
      <c r="T196" s="684"/>
      <c r="U196" s="37"/>
      <c r="V196" s="684"/>
      <c r="W196" s="37"/>
      <c r="X196" s="684"/>
      <c r="Y196" s="37"/>
      <c r="Z196" s="684"/>
      <c r="AA196" s="897"/>
      <c r="AB196" s="870"/>
      <c r="AC196" s="684"/>
      <c r="AD196" s="684"/>
      <c r="AE196" s="684"/>
      <c r="AF196" s="684"/>
      <c r="AG196" s="684"/>
      <c r="AH196" s="807">
        <f t="shared" si="52"/>
        <v>0</v>
      </c>
      <c r="AI196" s="937"/>
      <c r="AJ196" s="42"/>
      <c r="AK196" s="494"/>
      <c r="AL196" s="764"/>
      <c r="AM196" s="769">
        <f t="shared" ref="AM196:AM214" si="53">AH196-AK196-AL196</f>
        <v>0</v>
      </c>
      <c r="AN196" s="881"/>
      <c r="AO196" s="882"/>
      <c r="AP196" s="870"/>
      <c r="AQ196" s="870"/>
      <c r="AR196" s="870"/>
      <c r="AS196" s="870"/>
      <c r="AT196" s="870"/>
      <c r="AU196" s="870"/>
      <c r="AV196" s="870"/>
      <c r="AW196" s="870"/>
      <c r="AX196" s="870"/>
      <c r="AY196" s="870"/>
      <c r="AZ196" s="870"/>
      <c r="BA196" s="870">
        <f t="shared" ref="BA196:BA214" si="54">SUM(AO196:AZ196)</f>
        <v>0</v>
      </c>
    </row>
    <row r="197" spans="1:53" ht="18.75" x14ac:dyDescent="0.3">
      <c r="A197" s="957"/>
      <c r="B197" s="171"/>
      <c r="C197" s="955"/>
      <c r="D197" s="34"/>
      <c r="E197" s="684"/>
      <c r="F197" s="684"/>
      <c r="G197" s="684"/>
      <c r="H197" s="684"/>
      <c r="I197" s="684"/>
      <c r="J197" s="684"/>
      <c r="K197" s="684"/>
      <c r="L197" s="684"/>
      <c r="M197" s="684"/>
      <c r="N197" s="37"/>
      <c r="O197" s="684"/>
      <c r="P197" s="37"/>
      <c r="Q197" s="684"/>
      <c r="R197" s="684"/>
      <c r="S197" s="684"/>
      <c r="T197" s="684"/>
      <c r="U197" s="37"/>
      <c r="V197" s="684"/>
      <c r="W197" s="37"/>
      <c r="X197" s="684"/>
      <c r="Y197" s="37"/>
      <c r="Z197" s="684"/>
      <c r="AA197" s="897"/>
      <c r="AB197" s="870"/>
      <c r="AC197" s="684"/>
      <c r="AD197" s="684"/>
      <c r="AE197" s="684"/>
      <c r="AF197" s="684"/>
      <c r="AG197" s="684"/>
      <c r="AH197" s="807">
        <f t="shared" si="52"/>
        <v>0</v>
      </c>
      <c r="AI197" s="937"/>
      <c r="AJ197" s="65"/>
      <c r="AK197" s="494"/>
      <c r="AL197" s="764"/>
      <c r="AM197" s="769">
        <f t="shared" si="53"/>
        <v>0</v>
      </c>
      <c r="AN197" s="881"/>
      <c r="AO197" s="882"/>
      <c r="AP197" s="870"/>
      <c r="AQ197" s="870"/>
      <c r="AR197" s="870"/>
      <c r="AS197" s="870"/>
      <c r="AT197" s="870"/>
      <c r="AU197" s="870"/>
      <c r="AV197" s="870"/>
      <c r="AW197" s="870"/>
      <c r="AX197" s="870"/>
      <c r="AY197" s="870"/>
      <c r="AZ197" s="870"/>
      <c r="BA197" s="870">
        <f t="shared" si="54"/>
        <v>0</v>
      </c>
    </row>
    <row r="198" spans="1:53" ht="18.75" x14ac:dyDescent="0.3">
      <c r="A198" s="957"/>
      <c r="B198" s="871"/>
      <c r="C198" s="840"/>
      <c r="D198" s="34"/>
      <c r="E198" s="684"/>
      <c r="F198" s="684"/>
      <c r="G198" s="684"/>
      <c r="H198" s="684"/>
      <c r="I198" s="684"/>
      <c r="J198" s="684"/>
      <c r="K198" s="684"/>
      <c r="L198" s="684"/>
      <c r="M198" s="684"/>
      <c r="N198" s="37"/>
      <c r="O198" s="684"/>
      <c r="P198" s="37"/>
      <c r="Q198" s="684"/>
      <c r="R198" s="684"/>
      <c r="S198" s="684"/>
      <c r="T198" s="684"/>
      <c r="U198" s="37"/>
      <c r="V198" s="684"/>
      <c r="W198" s="37"/>
      <c r="X198" s="684"/>
      <c r="Y198" s="37"/>
      <c r="Z198" s="684"/>
      <c r="AA198" s="897"/>
      <c r="AB198" s="870"/>
      <c r="AC198" s="684"/>
      <c r="AD198" s="684"/>
      <c r="AE198" s="684"/>
      <c r="AF198" s="684"/>
      <c r="AG198" s="684"/>
      <c r="AH198" s="807">
        <f t="shared" si="52"/>
        <v>0</v>
      </c>
      <c r="AI198" s="940"/>
      <c r="AJ198" s="874"/>
      <c r="AK198" s="875"/>
      <c r="AL198" s="764"/>
      <c r="AM198" s="769">
        <f t="shared" si="53"/>
        <v>0</v>
      </c>
      <c r="AN198" s="881"/>
      <c r="AO198" s="882"/>
      <c r="AP198" s="870"/>
      <c r="AQ198" s="870"/>
      <c r="AR198" s="870"/>
      <c r="AS198" s="870"/>
      <c r="AT198" s="870"/>
      <c r="AU198" s="870"/>
      <c r="AV198" s="870"/>
      <c r="AW198" s="870"/>
      <c r="AX198" s="870"/>
      <c r="AY198" s="870"/>
      <c r="AZ198" s="870"/>
      <c r="BA198" s="870">
        <f t="shared" si="54"/>
        <v>0</v>
      </c>
    </row>
    <row r="199" spans="1:53" ht="18.75" x14ac:dyDescent="0.3">
      <c r="A199" s="957"/>
      <c r="B199" s="871"/>
      <c r="C199" s="955"/>
      <c r="D199" s="34"/>
      <c r="E199" s="684"/>
      <c r="F199" s="684"/>
      <c r="G199" s="684"/>
      <c r="H199" s="684"/>
      <c r="I199" s="684"/>
      <c r="J199" s="684"/>
      <c r="K199" s="684"/>
      <c r="L199" s="684"/>
      <c r="M199" s="684"/>
      <c r="N199" s="37"/>
      <c r="O199" s="684"/>
      <c r="P199" s="37"/>
      <c r="Q199" s="684"/>
      <c r="R199" s="684"/>
      <c r="S199" s="684"/>
      <c r="T199" s="684"/>
      <c r="U199" s="37"/>
      <c r="V199" s="684"/>
      <c r="W199" s="37"/>
      <c r="X199" s="684"/>
      <c r="Y199" s="37"/>
      <c r="Z199" s="684"/>
      <c r="AA199" s="897"/>
      <c r="AB199" s="870"/>
      <c r="AC199" s="684"/>
      <c r="AD199" s="684"/>
      <c r="AE199" s="684"/>
      <c r="AF199" s="684"/>
      <c r="AG199" s="684"/>
      <c r="AH199" s="807">
        <f t="shared" si="52"/>
        <v>0</v>
      </c>
      <c r="AI199" s="940"/>
      <c r="AJ199" s="874"/>
      <c r="AK199" s="494"/>
      <c r="AL199" s="764"/>
      <c r="AM199" s="769">
        <f t="shared" si="53"/>
        <v>0</v>
      </c>
      <c r="AN199" s="881"/>
      <c r="AO199" s="882"/>
      <c r="AP199" s="870"/>
      <c r="AQ199" s="886"/>
      <c r="AR199" s="870"/>
      <c r="AS199" s="870"/>
      <c r="AT199" s="870"/>
      <c r="AU199" s="870"/>
      <c r="AV199" s="870"/>
      <c r="AW199" s="870"/>
      <c r="AX199" s="870"/>
      <c r="AY199" s="870"/>
      <c r="AZ199" s="870"/>
      <c r="BA199" s="870">
        <f t="shared" si="54"/>
        <v>0</v>
      </c>
    </row>
    <row r="200" spans="1:53" ht="18.75" x14ac:dyDescent="0.3">
      <c r="A200" s="957"/>
      <c r="B200" s="871"/>
      <c r="C200" s="955"/>
      <c r="D200" s="34"/>
      <c r="E200" s="684"/>
      <c r="F200" s="684"/>
      <c r="G200" s="684"/>
      <c r="H200" s="684"/>
      <c r="I200" s="684"/>
      <c r="J200" s="684"/>
      <c r="K200" s="684"/>
      <c r="L200" s="684"/>
      <c r="M200" s="684"/>
      <c r="N200" s="37"/>
      <c r="O200" s="684"/>
      <c r="P200" s="37"/>
      <c r="Q200" s="684"/>
      <c r="R200" s="684"/>
      <c r="S200" s="684"/>
      <c r="T200" s="684"/>
      <c r="U200" s="37"/>
      <c r="V200" s="684"/>
      <c r="W200" s="37"/>
      <c r="X200" s="684"/>
      <c r="Y200" s="37"/>
      <c r="Z200" s="684"/>
      <c r="AA200" s="897"/>
      <c r="AB200" s="870"/>
      <c r="AC200" s="684"/>
      <c r="AD200" s="684"/>
      <c r="AE200" s="684"/>
      <c r="AF200" s="684"/>
      <c r="AG200" s="684"/>
      <c r="AH200" s="807">
        <f t="shared" si="52"/>
        <v>0</v>
      </c>
      <c r="AI200" s="940"/>
      <c r="AJ200" s="874"/>
      <c r="AK200" s="494"/>
      <c r="AL200" s="764"/>
      <c r="AM200" s="769">
        <f t="shared" si="53"/>
        <v>0</v>
      </c>
      <c r="AN200" s="881"/>
      <c r="AO200" s="882"/>
      <c r="AP200" s="870"/>
      <c r="AQ200" s="870"/>
      <c r="AR200" s="870"/>
      <c r="AS200" s="870"/>
      <c r="AT200" s="870"/>
      <c r="AU200" s="870"/>
      <c r="AV200" s="870"/>
      <c r="AW200" s="870"/>
      <c r="AX200" s="870"/>
      <c r="AY200" s="870"/>
      <c r="AZ200" s="870"/>
      <c r="BA200" s="870">
        <f t="shared" si="54"/>
        <v>0</v>
      </c>
    </row>
    <row r="201" spans="1:53" ht="18.75" x14ac:dyDescent="0.3">
      <c r="A201" s="957"/>
      <c r="B201" s="871"/>
      <c r="C201" s="955"/>
      <c r="D201" s="34"/>
      <c r="E201" s="684"/>
      <c r="F201" s="684"/>
      <c r="G201" s="684"/>
      <c r="H201" s="684"/>
      <c r="I201" s="684"/>
      <c r="J201" s="684"/>
      <c r="K201" s="684"/>
      <c r="L201" s="684"/>
      <c r="M201" s="684"/>
      <c r="N201" s="37"/>
      <c r="O201" s="684"/>
      <c r="P201" s="37"/>
      <c r="Q201" s="684"/>
      <c r="R201" s="684"/>
      <c r="S201" s="684"/>
      <c r="T201" s="684"/>
      <c r="U201" s="37"/>
      <c r="V201" s="684"/>
      <c r="W201" s="37"/>
      <c r="X201" s="684"/>
      <c r="Y201" s="37"/>
      <c r="Z201" s="684"/>
      <c r="AA201" s="897"/>
      <c r="AB201" s="870"/>
      <c r="AC201" s="684"/>
      <c r="AD201" s="684"/>
      <c r="AE201" s="684"/>
      <c r="AF201" s="684"/>
      <c r="AG201" s="684"/>
      <c r="AH201" s="807">
        <f t="shared" si="52"/>
        <v>0</v>
      </c>
      <c r="AI201" s="937"/>
      <c r="AJ201" s="876"/>
      <c r="AK201" s="494"/>
      <c r="AL201" s="764"/>
      <c r="AM201" s="769">
        <f t="shared" si="53"/>
        <v>0</v>
      </c>
      <c r="AN201" s="881"/>
      <c r="AO201" s="882"/>
      <c r="AP201" s="870"/>
      <c r="AQ201" s="870"/>
      <c r="AR201" s="870"/>
      <c r="AS201" s="870"/>
      <c r="AT201" s="870"/>
      <c r="AU201" s="870"/>
      <c r="AV201" s="870"/>
      <c r="AW201" s="870"/>
      <c r="AX201" s="870"/>
      <c r="AY201" s="870"/>
      <c r="AZ201" s="870"/>
      <c r="BA201" s="870">
        <f t="shared" si="54"/>
        <v>0</v>
      </c>
    </row>
    <row r="202" spans="1:53" ht="18.75" x14ac:dyDescent="0.3">
      <c r="A202" s="957"/>
      <c r="B202" s="871"/>
      <c r="C202" s="955"/>
      <c r="D202" s="34"/>
      <c r="E202" s="684"/>
      <c r="F202" s="684"/>
      <c r="G202" s="684"/>
      <c r="H202" s="684"/>
      <c r="I202" s="684"/>
      <c r="J202" s="684"/>
      <c r="K202" s="684"/>
      <c r="L202" s="684"/>
      <c r="M202" s="684"/>
      <c r="N202" s="37"/>
      <c r="O202" s="684"/>
      <c r="P202" s="37"/>
      <c r="Q202" s="684"/>
      <c r="R202" s="684"/>
      <c r="S202" s="684"/>
      <c r="T202" s="684"/>
      <c r="U202" s="37"/>
      <c r="V202" s="684"/>
      <c r="W202" s="37"/>
      <c r="X202" s="684"/>
      <c r="Y202" s="37"/>
      <c r="Z202" s="684"/>
      <c r="AA202" s="897"/>
      <c r="AB202" s="870"/>
      <c r="AC202" s="684"/>
      <c r="AD202" s="684"/>
      <c r="AE202" s="684"/>
      <c r="AF202" s="684"/>
      <c r="AG202" s="684"/>
      <c r="AH202" s="1036">
        <f t="shared" si="52"/>
        <v>0</v>
      </c>
      <c r="AI202" s="940"/>
      <c r="AJ202" s="874"/>
      <c r="AK202" s="494"/>
      <c r="AL202" s="764"/>
      <c r="AM202" s="769">
        <f t="shared" si="53"/>
        <v>0</v>
      </c>
      <c r="AN202" s="881"/>
      <c r="AO202" s="882"/>
      <c r="AP202" s="870"/>
      <c r="AQ202" s="870"/>
      <c r="AR202" s="870"/>
      <c r="AS202" s="870"/>
      <c r="AT202" s="870"/>
      <c r="AU202" s="870"/>
      <c r="AV202" s="870"/>
      <c r="AW202" s="870"/>
      <c r="AX202" s="870"/>
      <c r="AY202" s="870"/>
      <c r="AZ202" s="870"/>
      <c r="BA202" s="870">
        <f t="shared" si="54"/>
        <v>0</v>
      </c>
    </row>
    <row r="203" spans="1:53" ht="18.75" x14ac:dyDescent="0.3">
      <c r="A203" s="957"/>
      <c r="B203" s="871"/>
      <c r="C203" s="955"/>
      <c r="D203" s="34"/>
      <c r="E203" s="684"/>
      <c r="F203" s="684"/>
      <c r="G203" s="684"/>
      <c r="H203" s="684"/>
      <c r="I203" s="684"/>
      <c r="J203" s="684"/>
      <c r="K203" s="684"/>
      <c r="L203" s="684"/>
      <c r="M203" s="684"/>
      <c r="N203" s="37"/>
      <c r="O203" s="684"/>
      <c r="P203" s="37"/>
      <c r="Q203" s="684"/>
      <c r="R203" s="684"/>
      <c r="S203" s="684"/>
      <c r="T203" s="684"/>
      <c r="U203" s="37"/>
      <c r="V203" s="684"/>
      <c r="W203" s="37"/>
      <c r="X203" s="684"/>
      <c r="Y203" s="37"/>
      <c r="Z203" s="684"/>
      <c r="AA203" s="897"/>
      <c r="AB203" s="870"/>
      <c r="AC203" s="684"/>
      <c r="AD203" s="684"/>
      <c r="AE203" s="684"/>
      <c r="AF203" s="684"/>
      <c r="AG203" s="684"/>
      <c r="AH203" s="807">
        <f t="shared" si="52"/>
        <v>0</v>
      </c>
      <c r="AI203" s="940"/>
      <c r="AJ203" s="874"/>
      <c r="AK203" s="494"/>
      <c r="AL203" s="764"/>
      <c r="AM203" s="769">
        <f t="shared" si="53"/>
        <v>0</v>
      </c>
      <c r="AN203" s="881"/>
      <c r="AO203" s="886"/>
      <c r="AP203" s="886"/>
      <c r="AQ203" s="870"/>
      <c r="AR203" s="870"/>
      <c r="AS203" s="870"/>
      <c r="AT203" s="870"/>
      <c r="AU203" s="870"/>
      <c r="AV203" s="870"/>
      <c r="AW203" s="870"/>
      <c r="AX203" s="870"/>
      <c r="AY203" s="870"/>
      <c r="AZ203" s="870"/>
      <c r="BA203" s="870">
        <f t="shared" si="54"/>
        <v>0</v>
      </c>
    </row>
    <row r="204" spans="1:53" ht="18.75" x14ac:dyDescent="0.3">
      <c r="A204" s="1079"/>
      <c r="B204" s="171"/>
      <c r="C204" s="955"/>
      <c r="D204" s="34"/>
      <c r="E204" s="684"/>
      <c r="F204" s="684"/>
      <c r="G204" s="684"/>
      <c r="H204" s="684"/>
      <c r="I204" s="684"/>
      <c r="J204" s="684"/>
      <c r="K204" s="684"/>
      <c r="L204" s="684"/>
      <c r="M204" s="684"/>
      <c r="N204" s="37"/>
      <c r="O204" s="684"/>
      <c r="P204" s="37"/>
      <c r="Q204" s="684"/>
      <c r="R204" s="684"/>
      <c r="S204" s="684"/>
      <c r="T204" s="684"/>
      <c r="U204" s="37"/>
      <c r="V204" s="684"/>
      <c r="W204" s="37"/>
      <c r="X204" s="684"/>
      <c r="Y204" s="37"/>
      <c r="Z204" s="684"/>
      <c r="AA204" s="897"/>
      <c r="AB204" s="870"/>
      <c r="AC204" s="684"/>
      <c r="AD204" s="684"/>
      <c r="AE204" s="684"/>
      <c r="AF204" s="684"/>
      <c r="AG204" s="684"/>
      <c r="AH204" s="807">
        <f t="shared" si="52"/>
        <v>0</v>
      </c>
      <c r="AI204" s="937"/>
      <c r="AJ204" s="42"/>
      <c r="AK204" s="494"/>
      <c r="AL204" s="764"/>
      <c r="AM204" s="769">
        <f t="shared" si="53"/>
        <v>0</v>
      </c>
      <c r="AN204" s="881"/>
      <c r="AO204" s="882"/>
      <c r="AP204" s="883"/>
      <c r="AQ204" s="883"/>
      <c r="AR204" s="883"/>
      <c r="AS204" s="883"/>
      <c r="AT204" s="883"/>
      <c r="AU204" s="883"/>
      <c r="AV204" s="883"/>
      <c r="AW204" s="883"/>
      <c r="AX204" s="883"/>
      <c r="AY204" s="883"/>
      <c r="AZ204" s="883"/>
      <c r="BA204" s="870">
        <f t="shared" si="54"/>
        <v>0</v>
      </c>
    </row>
    <row r="205" spans="1:53" ht="18.75" x14ac:dyDescent="0.3">
      <c r="A205" s="1079"/>
      <c r="B205" s="171"/>
      <c r="C205" s="955"/>
      <c r="D205" s="41"/>
      <c r="E205" s="684"/>
      <c r="F205" s="684"/>
      <c r="G205" s="684"/>
      <c r="H205" s="684"/>
      <c r="I205" s="684"/>
      <c r="J205" s="684"/>
      <c r="K205" s="684"/>
      <c r="L205" s="684"/>
      <c r="M205" s="684"/>
      <c r="N205" s="37"/>
      <c r="O205" s="684"/>
      <c r="P205" s="37"/>
      <c r="Q205" s="684"/>
      <c r="R205" s="684"/>
      <c r="S205" s="684"/>
      <c r="T205" s="684"/>
      <c r="U205" s="37"/>
      <c r="V205" s="684"/>
      <c r="W205" s="37"/>
      <c r="X205" s="684"/>
      <c r="Y205" s="37"/>
      <c r="Z205" s="684"/>
      <c r="AA205" s="897"/>
      <c r="AB205" s="870"/>
      <c r="AC205" s="684"/>
      <c r="AD205" s="684"/>
      <c r="AE205" s="684"/>
      <c r="AF205" s="684"/>
      <c r="AG205" s="684"/>
      <c r="AH205" s="807">
        <f t="shared" si="52"/>
        <v>0</v>
      </c>
      <c r="AI205" s="937"/>
      <c r="AJ205" s="42"/>
      <c r="AK205" s="494"/>
      <c r="AL205" s="764"/>
      <c r="AM205" s="769">
        <f t="shared" si="53"/>
        <v>0</v>
      </c>
      <c r="AN205" s="881"/>
      <c r="AO205" s="882"/>
      <c r="AP205" s="883"/>
      <c r="AQ205" s="883"/>
      <c r="AR205" s="883"/>
      <c r="AS205" s="883"/>
      <c r="AT205" s="883"/>
      <c r="AU205" s="883"/>
      <c r="AV205" s="883"/>
      <c r="AW205" s="883"/>
      <c r="AX205" s="883"/>
      <c r="AY205" s="883"/>
      <c r="AZ205" s="883"/>
      <c r="BA205" s="870">
        <f t="shared" si="54"/>
        <v>0</v>
      </c>
    </row>
    <row r="206" spans="1:53" ht="18.75" x14ac:dyDescent="0.3">
      <c r="A206" s="1079"/>
      <c r="B206" s="171"/>
      <c r="C206" s="955"/>
      <c r="D206" s="34"/>
      <c r="E206" s="684"/>
      <c r="F206" s="684"/>
      <c r="G206" s="684"/>
      <c r="H206" s="684"/>
      <c r="I206" s="684"/>
      <c r="J206" s="684"/>
      <c r="K206" s="684"/>
      <c r="L206" s="684"/>
      <c r="M206" s="684"/>
      <c r="N206" s="37"/>
      <c r="O206" s="684"/>
      <c r="P206" s="37"/>
      <c r="Q206" s="684"/>
      <c r="R206" s="684"/>
      <c r="S206" s="684"/>
      <c r="T206" s="684"/>
      <c r="U206" s="37"/>
      <c r="V206" s="684"/>
      <c r="W206" s="37"/>
      <c r="X206" s="684"/>
      <c r="Y206" s="37"/>
      <c r="Z206" s="684"/>
      <c r="AA206" s="897"/>
      <c r="AB206" s="870"/>
      <c r="AC206" s="684"/>
      <c r="AD206" s="684"/>
      <c r="AE206" s="684"/>
      <c r="AF206" s="684"/>
      <c r="AG206" s="684"/>
      <c r="AH206" s="807">
        <f t="shared" si="52"/>
        <v>0</v>
      </c>
      <c r="AI206" s="937"/>
      <c r="AJ206" s="42"/>
      <c r="AK206" s="494"/>
      <c r="AL206" s="764"/>
      <c r="AM206" s="769">
        <f t="shared" si="53"/>
        <v>0</v>
      </c>
      <c r="AN206" s="881"/>
      <c r="AO206" s="882"/>
      <c r="AP206" s="883"/>
      <c r="AQ206" s="883"/>
      <c r="AR206" s="883"/>
      <c r="AS206" s="883"/>
      <c r="AT206" s="883"/>
      <c r="AU206" s="883"/>
      <c r="AV206" s="883"/>
      <c r="AW206" s="883"/>
      <c r="AX206" s="883"/>
      <c r="AY206" s="883"/>
      <c r="AZ206" s="883"/>
      <c r="BA206" s="870">
        <f t="shared" si="54"/>
        <v>0</v>
      </c>
    </row>
    <row r="207" spans="1:53" ht="18.75" x14ac:dyDescent="0.3">
      <c r="A207" s="1079"/>
      <c r="B207" s="171"/>
      <c r="C207" s="955"/>
      <c r="D207" s="34"/>
      <c r="E207" s="684"/>
      <c r="F207" s="684"/>
      <c r="G207" s="684"/>
      <c r="H207" s="684"/>
      <c r="I207" s="684"/>
      <c r="J207" s="684"/>
      <c r="K207" s="684"/>
      <c r="L207" s="684"/>
      <c r="M207" s="684"/>
      <c r="N207" s="37"/>
      <c r="O207" s="684"/>
      <c r="P207" s="37"/>
      <c r="Q207" s="684"/>
      <c r="R207" s="684"/>
      <c r="S207" s="684"/>
      <c r="T207" s="684"/>
      <c r="U207" s="37"/>
      <c r="V207" s="684"/>
      <c r="W207" s="37"/>
      <c r="X207" s="684"/>
      <c r="Y207" s="37"/>
      <c r="Z207" s="684"/>
      <c r="AA207" s="897"/>
      <c r="AB207" s="870"/>
      <c r="AC207" s="684"/>
      <c r="AD207" s="684"/>
      <c r="AE207" s="684"/>
      <c r="AF207" s="684"/>
      <c r="AG207" s="684"/>
      <c r="AH207" s="807">
        <f t="shared" si="52"/>
        <v>0</v>
      </c>
      <c r="AI207" s="937"/>
      <c r="AJ207" s="42"/>
      <c r="AK207" s="494"/>
      <c r="AL207" s="764"/>
      <c r="AM207" s="769">
        <f t="shared" si="53"/>
        <v>0</v>
      </c>
      <c r="AN207" s="881"/>
      <c r="AO207" s="882"/>
      <c r="AP207" s="883"/>
      <c r="AQ207" s="883"/>
      <c r="AR207" s="883"/>
      <c r="AS207" s="883"/>
      <c r="AT207" s="883"/>
      <c r="AU207" s="883"/>
      <c r="AV207" s="883"/>
      <c r="AW207" s="883"/>
      <c r="AX207" s="883"/>
      <c r="AY207" s="883"/>
      <c r="AZ207" s="883"/>
      <c r="BA207" s="870">
        <f t="shared" si="54"/>
        <v>0</v>
      </c>
    </row>
    <row r="208" spans="1:53" ht="18.75" x14ac:dyDescent="0.3">
      <c r="A208" s="1079"/>
      <c r="B208" s="171"/>
      <c r="C208" s="955"/>
      <c r="D208" s="34"/>
      <c r="E208" s="684"/>
      <c r="F208" s="684"/>
      <c r="G208" s="684"/>
      <c r="H208" s="684"/>
      <c r="I208" s="684"/>
      <c r="J208" s="684"/>
      <c r="K208" s="684"/>
      <c r="L208" s="684"/>
      <c r="M208" s="684"/>
      <c r="N208" s="37"/>
      <c r="O208" s="684"/>
      <c r="P208" s="37"/>
      <c r="Q208" s="684"/>
      <c r="R208" s="684"/>
      <c r="S208" s="684"/>
      <c r="T208" s="684"/>
      <c r="U208" s="37"/>
      <c r="V208" s="684"/>
      <c r="W208" s="37"/>
      <c r="X208" s="684"/>
      <c r="Y208" s="37"/>
      <c r="Z208" s="684"/>
      <c r="AA208" s="897"/>
      <c r="AB208" s="870"/>
      <c r="AC208" s="684"/>
      <c r="AD208" s="684"/>
      <c r="AE208" s="684"/>
      <c r="AF208" s="684"/>
      <c r="AG208" s="684"/>
      <c r="AH208" s="807">
        <f t="shared" si="52"/>
        <v>0</v>
      </c>
      <c r="AI208" s="937"/>
      <c r="AJ208" s="42"/>
      <c r="AK208" s="494"/>
      <c r="AL208" s="764"/>
      <c r="AM208" s="769">
        <f t="shared" si="53"/>
        <v>0</v>
      </c>
      <c r="AN208" s="881"/>
      <c r="AO208" s="882"/>
      <c r="AP208" s="883"/>
      <c r="AQ208" s="883"/>
      <c r="AR208" s="883"/>
      <c r="AS208" s="883"/>
      <c r="AT208" s="883"/>
      <c r="AU208" s="883"/>
      <c r="AV208" s="883"/>
      <c r="AW208" s="883"/>
      <c r="AX208" s="883"/>
      <c r="AY208" s="883"/>
      <c r="AZ208" s="883"/>
      <c r="BA208" s="870">
        <f t="shared" si="54"/>
        <v>0</v>
      </c>
    </row>
    <row r="209" spans="1:53" ht="18.75" x14ac:dyDescent="0.3">
      <c r="A209" s="1079"/>
      <c r="B209" s="171"/>
      <c r="C209" s="955"/>
      <c r="D209" s="140"/>
      <c r="E209" s="684"/>
      <c r="F209" s="684"/>
      <c r="G209" s="684"/>
      <c r="H209" s="684"/>
      <c r="I209" s="1078"/>
      <c r="J209" s="684"/>
      <c r="K209" s="684"/>
      <c r="L209" s="684"/>
      <c r="M209" s="684"/>
      <c r="N209" s="37"/>
      <c r="O209" s="684"/>
      <c r="P209" s="37"/>
      <c r="Q209" s="684"/>
      <c r="R209" s="684"/>
      <c r="S209" s="684"/>
      <c r="T209" s="684"/>
      <c r="U209" s="37"/>
      <c r="V209" s="684"/>
      <c r="W209" s="37"/>
      <c r="X209" s="684"/>
      <c r="Y209" s="37"/>
      <c r="Z209" s="684"/>
      <c r="AA209" s="897"/>
      <c r="AB209" s="870"/>
      <c r="AC209" s="684"/>
      <c r="AD209" s="684"/>
      <c r="AE209" s="684"/>
      <c r="AF209" s="684"/>
      <c r="AG209" s="684"/>
      <c r="AH209" s="807">
        <f t="shared" si="52"/>
        <v>0</v>
      </c>
      <c r="AI209" s="937"/>
      <c r="AJ209" s="42"/>
      <c r="AK209" s="494"/>
      <c r="AL209" s="764"/>
      <c r="AM209" s="769">
        <f t="shared" si="53"/>
        <v>0</v>
      </c>
      <c r="AN209" s="881"/>
      <c r="AO209" s="882"/>
      <c r="AP209" s="883"/>
      <c r="AQ209" s="883"/>
      <c r="AR209" s="883"/>
      <c r="AS209" s="883"/>
      <c r="AT209" s="883"/>
      <c r="AU209" s="883"/>
      <c r="AV209" s="883"/>
      <c r="AW209" s="883"/>
      <c r="AX209" s="883"/>
      <c r="AY209" s="883"/>
      <c r="AZ209" s="883"/>
      <c r="BA209" s="870">
        <f t="shared" si="54"/>
        <v>0</v>
      </c>
    </row>
    <row r="210" spans="1:53" ht="18.75" x14ac:dyDescent="0.3">
      <c r="A210" s="1079"/>
      <c r="B210" s="171"/>
      <c r="C210" s="955"/>
      <c r="D210" s="140"/>
      <c r="E210" s="684"/>
      <c r="F210" s="684"/>
      <c r="G210" s="684"/>
      <c r="H210" s="684"/>
      <c r="I210" s="684"/>
      <c r="J210" s="684"/>
      <c r="K210" s="684"/>
      <c r="L210" s="684"/>
      <c r="M210" s="684"/>
      <c r="N210" s="37"/>
      <c r="O210" s="684"/>
      <c r="P210" s="55"/>
      <c r="Q210" s="684"/>
      <c r="R210" s="684"/>
      <c r="S210" s="684"/>
      <c r="T210" s="684"/>
      <c r="U210" s="37"/>
      <c r="V210" s="684"/>
      <c r="W210" s="37"/>
      <c r="X210" s="684"/>
      <c r="Y210" s="37"/>
      <c r="Z210" s="684"/>
      <c r="AA210" s="897"/>
      <c r="AB210" s="870"/>
      <c r="AC210" s="684"/>
      <c r="AD210" s="684"/>
      <c r="AE210" s="684"/>
      <c r="AF210" s="684"/>
      <c r="AG210" s="684"/>
      <c r="AH210" s="807">
        <f t="shared" si="52"/>
        <v>0</v>
      </c>
      <c r="AI210" s="937"/>
      <c r="AJ210" s="42"/>
      <c r="AK210" s="494"/>
      <c r="AL210" s="764"/>
      <c r="AM210" s="769">
        <f t="shared" si="53"/>
        <v>0</v>
      </c>
      <c r="AN210" s="881"/>
      <c r="AO210" s="882"/>
      <c r="AP210" s="883"/>
      <c r="AQ210" s="883"/>
      <c r="AR210" s="883"/>
      <c r="AS210" s="883"/>
      <c r="AT210" s="883"/>
      <c r="AU210" s="883"/>
      <c r="AV210" s="883"/>
      <c r="AW210" s="883"/>
      <c r="AX210" s="883"/>
      <c r="AY210" s="883"/>
      <c r="AZ210" s="883"/>
      <c r="BA210" s="870">
        <f t="shared" si="54"/>
        <v>0</v>
      </c>
    </row>
    <row r="211" spans="1:53" ht="18.75" x14ac:dyDescent="0.3">
      <c r="A211" s="1079"/>
      <c r="B211" s="171"/>
      <c r="C211" s="955"/>
      <c r="D211" s="140"/>
      <c r="E211" s="684"/>
      <c r="F211" s="684"/>
      <c r="G211" s="684"/>
      <c r="H211" s="684"/>
      <c r="I211" s="684"/>
      <c r="J211" s="684"/>
      <c r="K211" s="684"/>
      <c r="L211" s="1078"/>
      <c r="M211" s="684"/>
      <c r="N211" s="37"/>
      <c r="O211" s="684"/>
      <c r="P211" s="37"/>
      <c r="Q211" s="684"/>
      <c r="R211" s="684"/>
      <c r="S211" s="684"/>
      <c r="T211" s="684"/>
      <c r="U211" s="37"/>
      <c r="V211" s="684"/>
      <c r="W211" s="37"/>
      <c r="X211" s="684"/>
      <c r="Y211" s="37"/>
      <c r="Z211" s="684"/>
      <c r="AA211" s="897"/>
      <c r="AB211" s="870"/>
      <c r="AC211" s="684"/>
      <c r="AD211" s="684"/>
      <c r="AE211" s="684"/>
      <c r="AF211" s="684"/>
      <c r="AG211" s="684"/>
      <c r="AH211" s="807">
        <f t="shared" si="52"/>
        <v>0</v>
      </c>
      <c r="AI211" s="937"/>
      <c r="AJ211" s="42"/>
      <c r="AK211" s="494"/>
      <c r="AL211" s="764"/>
      <c r="AM211" s="769">
        <f t="shared" si="53"/>
        <v>0</v>
      </c>
      <c r="AN211" s="881"/>
      <c r="AO211" s="882"/>
      <c r="AP211" s="883"/>
      <c r="AQ211" s="883"/>
      <c r="AR211" s="883"/>
      <c r="AS211" s="883"/>
      <c r="AT211" s="883"/>
      <c r="AU211" s="883"/>
      <c r="AV211" s="883"/>
      <c r="AW211" s="883"/>
      <c r="AX211" s="883"/>
      <c r="AY211" s="883"/>
      <c r="AZ211" s="883"/>
      <c r="BA211" s="870">
        <f t="shared" si="54"/>
        <v>0</v>
      </c>
    </row>
    <row r="212" spans="1:53" ht="18.75" x14ac:dyDescent="0.3">
      <c r="A212" s="1079"/>
      <c r="B212" s="171"/>
      <c r="C212" s="955"/>
      <c r="D212" s="140"/>
      <c r="E212" s="684"/>
      <c r="F212" s="684"/>
      <c r="G212" s="684"/>
      <c r="H212" s="684"/>
      <c r="I212" s="684"/>
      <c r="J212" s="684"/>
      <c r="K212" s="684"/>
      <c r="L212" s="684"/>
      <c r="M212" s="1080"/>
      <c r="N212" s="37"/>
      <c r="O212" s="684"/>
      <c r="P212" s="37"/>
      <c r="Q212" s="684"/>
      <c r="R212" s="684"/>
      <c r="S212" s="684"/>
      <c r="T212" s="684"/>
      <c r="U212" s="37"/>
      <c r="V212" s="684"/>
      <c r="W212" s="37"/>
      <c r="X212" s="684"/>
      <c r="Y212" s="37"/>
      <c r="Z212" s="684"/>
      <c r="AA212" s="897"/>
      <c r="AB212" s="870"/>
      <c r="AC212" s="684"/>
      <c r="AD212" s="684"/>
      <c r="AE212" s="684"/>
      <c r="AF212" s="684"/>
      <c r="AG212" s="684"/>
      <c r="AH212" s="807">
        <f t="shared" si="52"/>
        <v>0</v>
      </c>
      <c r="AI212" s="937"/>
      <c r="AJ212" s="42"/>
      <c r="AK212" s="494"/>
      <c r="AL212" s="764"/>
      <c r="AM212" s="769">
        <f t="shared" si="53"/>
        <v>0</v>
      </c>
      <c r="AN212" s="881"/>
      <c r="AO212" s="882"/>
      <c r="AP212" s="883"/>
      <c r="AQ212" s="883"/>
      <c r="AR212" s="883"/>
      <c r="AS212" s="883"/>
      <c r="AT212" s="883"/>
      <c r="AU212" s="883"/>
      <c r="AV212" s="883"/>
      <c r="AW212" s="883"/>
      <c r="AX212" s="883"/>
      <c r="AY212" s="883"/>
      <c r="AZ212" s="883"/>
      <c r="BA212" s="870">
        <f t="shared" si="54"/>
        <v>0</v>
      </c>
    </row>
    <row r="213" spans="1:53" ht="18.75" x14ac:dyDescent="0.3">
      <c r="A213" s="1079"/>
      <c r="B213" s="171"/>
      <c r="C213" s="955"/>
      <c r="D213" s="140"/>
      <c r="E213" s="684"/>
      <c r="F213" s="684"/>
      <c r="G213" s="684"/>
      <c r="H213" s="684"/>
      <c r="I213" s="684"/>
      <c r="J213" s="684"/>
      <c r="K213" s="684"/>
      <c r="L213" s="1080"/>
      <c r="M213" s="684"/>
      <c r="N213" s="37"/>
      <c r="O213" s="684"/>
      <c r="P213" s="37"/>
      <c r="Q213" s="684"/>
      <c r="R213" s="684"/>
      <c r="S213" s="684"/>
      <c r="T213" s="684"/>
      <c r="U213" s="37"/>
      <c r="V213" s="684"/>
      <c r="W213" s="37"/>
      <c r="X213" s="684"/>
      <c r="Y213" s="37"/>
      <c r="Z213" s="684"/>
      <c r="AA213" s="897"/>
      <c r="AB213" s="870"/>
      <c r="AC213" s="684"/>
      <c r="AD213" s="684"/>
      <c r="AE213" s="684"/>
      <c r="AF213" s="684"/>
      <c r="AG213" s="684"/>
      <c r="AH213" s="807">
        <f t="shared" si="52"/>
        <v>0</v>
      </c>
      <c r="AI213" s="937"/>
      <c r="AJ213" s="42"/>
      <c r="AK213" s="494"/>
      <c r="AL213" s="764"/>
      <c r="AM213" s="769">
        <f t="shared" si="53"/>
        <v>0</v>
      </c>
      <c r="AN213" s="881"/>
      <c r="AO213" s="882"/>
      <c r="AP213" s="883"/>
      <c r="AQ213" s="883"/>
      <c r="AR213" s="883"/>
      <c r="AS213" s="883"/>
      <c r="AT213" s="883"/>
      <c r="AU213" s="883"/>
      <c r="AV213" s="883"/>
      <c r="AW213" s="883"/>
      <c r="AX213" s="883"/>
      <c r="AY213" s="883"/>
      <c r="AZ213" s="883"/>
      <c r="BA213" s="870">
        <f t="shared" si="54"/>
        <v>0</v>
      </c>
    </row>
    <row r="214" spans="1:53" ht="18.75" x14ac:dyDescent="0.3">
      <c r="A214" s="1031"/>
      <c r="B214" s="1081"/>
      <c r="C214" s="1033"/>
      <c r="D214" s="1034"/>
      <c r="E214" s="916"/>
      <c r="F214" s="916"/>
      <c r="G214" s="916"/>
      <c r="H214" s="916"/>
      <c r="I214" s="916"/>
      <c r="J214" s="916"/>
      <c r="K214" s="916"/>
      <c r="L214" s="916"/>
      <c r="M214" s="916"/>
      <c r="N214" s="888"/>
      <c r="O214" s="916"/>
      <c r="P214" s="888"/>
      <c r="Q214" s="916"/>
      <c r="R214" s="916"/>
      <c r="S214" s="916"/>
      <c r="T214" s="916"/>
      <c r="U214" s="888"/>
      <c r="V214" s="916"/>
      <c r="W214" s="888"/>
      <c r="X214" s="916"/>
      <c r="Y214" s="888"/>
      <c r="Z214" s="916"/>
      <c r="AA214" s="898"/>
      <c r="AB214" s="888"/>
      <c r="AC214" s="916"/>
      <c r="AD214" s="916"/>
      <c r="AE214" s="916"/>
      <c r="AF214" s="916"/>
      <c r="AG214" s="916"/>
      <c r="AH214" s="1049">
        <f t="shared" si="52"/>
        <v>0</v>
      </c>
      <c r="AI214" s="937"/>
      <c r="AJ214" s="42"/>
      <c r="AK214" s="494"/>
      <c r="AL214" s="764"/>
      <c r="AM214" s="769">
        <f t="shared" si="53"/>
        <v>0</v>
      </c>
      <c r="AN214" s="881"/>
      <c r="AO214" s="882"/>
      <c r="AP214" s="870"/>
      <c r="AQ214" s="870"/>
      <c r="AR214" s="870"/>
      <c r="AS214" s="870"/>
      <c r="AT214" s="870"/>
      <c r="AU214" s="870"/>
      <c r="AV214" s="870"/>
      <c r="AW214" s="870"/>
      <c r="AX214" s="870"/>
      <c r="AY214" s="870"/>
      <c r="AZ214" s="870"/>
      <c r="BA214" s="870">
        <f t="shared" si="54"/>
        <v>0</v>
      </c>
    </row>
    <row r="215" spans="1:53" ht="18.75" customHeight="1" x14ac:dyDescent="0.3">
      <c r="A215" s="742"/>
      <c r="B215" s="506"/>
      <c r="C215" s="482"/>
      <c r="D215" s="507" t="s">
        <v>237</v>
      </c>
      <c r="E215" s="156">
        <f t="shared" ref="E215:AG215" si="55">SUM(E194:E214)</f>
        <v>0</v>
      </c>
      <c r="F215" s="156">
        <f t="shared" si="55"/>
        <v>0</v>
      </c>
      <c r="G215" s="156">
        <f t="shared" si="55"/>
        <v>0</v>
      </c>
      <c r="H215" s="156">
        <f t="shared" si="55"/>
        <v>0</v>
      </c>
      <c r="I215" s="156">
        <f t="shared" si="55"/>
        <v>0</v>
      </c>
      <c r="J215" s="156">
        <f t="shared" si="55"/>
        <v>0</v>
      </c>
      <c r="K215" s="156">
        <f t="shared" si="55"/>
        <v>0</v>
      </c>
      <c r="L215" s="156">
        <f t="shared" si="55"/>
        <v>0</v>
      </c>
      <c r="M215" s="156">
        <f t="shared" si="55"/>
        <v>0</v>
      </c>
      <c r="N215" s="508">
        <f t="shared" si="55"/>
        <v>0</v>
      </c>
      <c r="O215" s="156">
        <f t="shared" si="55"/>
        <v>0</v>
      </c>
      <c r="P215" s="156">
        <f t="shared" si="55"/>
        <v>0</v>
      </c>
      <c r="Q215" s="156">
        <f t="shared" si="55"/>
        <v>0</v>
      </c>
      <c r="R215" s="156">
        <f t="shared" si="55"/>
        <v>0</v>
      </c>
      <c r="S215" s="156">
        <f t="shared" si="55"/>
        <v>0</v>
      </c>
      <c r="T215" s="156">
        <f t="shared" si="55"/>
        <v>0</v>
      </c>
      <c r="U215" s="156">
        <f t="shared" si="55"/>
        <v>0</v>
      </c>
      <c r="V215" s="156">
        <f t="shared" si="55"/>
        <v>0</v>
      </c>
      <c r="W215" s="156">
        <f t="shared" si="55"/>
        <v>0</v>
      </c>
      <c r="X215" s="156">
        <f t="shared" si="55"/>
        <v>0</v>
      </c>
      <c r="Y215" s="156">
        <f t="shared" si="55"/>
        <v>0</v>
      </c>
      <c r="Z215" s="156">
        <f t="shared" si="55"/>
        <v>0</v>
      </c>
      <c r="AA215" s="902">
        <f t="shared" si="55"/>
        <v>0</v>
      </c>
      <c r="AB215" s="508">
        <f t="shared" si="55"/>
        <v>0</v>
      </c>
      <c r="AC215" s="156">
        <f t="shared" si="55"/>
        <v>0</v>
      </c>
      <c r="AD215" s="156">
        <f t="shared" si="55"/>
        <v>0</v>
      </c>
      <c r="AE215" s="156">
        <f t="shared" si="55"/>
        <v>0</v>
      </c>
      <c r="AF215" s="156">
        <f t="shared" si="55"/>
        <v>0</v>
      </c>
      <c r="AG215" s="156">
        <f t="shared" si="55"/>
        <v>0</v>
      </c>
      <c r="AH215" s="786">
        <f t="shared" si="52"/>
        <v>0</v>
      </c>
      <c r="AI215" s="1082"/>
      <c r="AJ215" s="490"/>
      <c r="AK215" s="509"/>
      <c r="AL215" s="765"/>
      <c r="AM215" s="769"/>
      <c r="AN215" s="396"/>
      <c r="AO215" s="397"/>
      <c r="AP215" s="37"/>
      <c r="AQ215" s="491"/>
      <c r="AR215" s="491"/>
      <c r="AS215" s="491"/>
      <c r="AT215" s="491"/>
      <c r="AU215" s="491"/>
      <c r="AV215" s="491"/>
      <c r="AW215" s="491"/>
      <c r="AX215" s="491"/>
      <c r="AY215" s="491"/>
      <c r="AZ215" s="491"/>
      <c r="BA215" s="491"/>
    </row>
    <row r="216" spans="1:53" ht="18.75" customHeight="1" x14ac:dyDescent="0.3">
      <c r="A216" s="742"/>
      <c r="B216" s="506"/>
      <c r="C216" s="482"/>
      <c r="D216" s="507" t="s">
        <v>238</v>
      </c>
      <c r="E216" s="150">
        <f t="shared" ref="E216:AG216" si="56">SUM(E192+E215)</f>
        <v>88126.2</v>
      </c>
      <c r="F216" s="150">
        <f t="shared" si="56"/>
        <v>104149.33</v>
      </c>
      <c r="G216" s="150">
        <f t="shared" si="56"/>
        <v>6305</v>
      </c>
      <c r="H216" s="150">
        <f t="shared" si="56"/>
        <v>0</v>
      </c>
      <c r="I216" s="150">
        <f t="shared" si="56"/>
        <v>0</v>
      </c>
      <c r="J216" s="150">
        <f t="shared" si="56"/>
        <v>2600</v>
      </c>
      <c r="K216" s="150">
        <f t="shared" si="56"/>
        <v>0</v>
      </c>
      <c r="L216" s="150">
        <f t="shared" si="56"/>
        <v>54590</v>
      </c>
      <c r="M216" s="150">
        <f t="shared" si="56"/>
        <v>330000</v>
      </c>
      <c r="N216" s="510">
        <f t="shared" si="56"/>
        <v>23600</v>
      </c>
      <c r="O216" s="150">
        <f t="shared" si="56"/>
        <v>55717</v>
      </c>
      <c r="P216" s="150">
        <f t="shared" si="56"/>
        <v>87210</v>
      </c>
      <c r="Q216" s="150">
        <f t="shared" si="56"/>
        <v>0</v>
      </c>
      <c r="R216" s="150">
        <f t="shared" si="56"/>
        <v>0</v>
      </c>
      <c r="S216" s="150">
        <f t="shared" si="56"/>
        <v>0</v>
      </c>
      <c r="T216" s="150">
        <f t="shared" si="56"/>
        <v>214000</v>
      </c>
      <c r="U216" s="150">
        <f t="shared" si="56"/>
        <v>0</v>
      </c>
      <c r="V216" s="150">
        <f t="shared" si="56"/>
        <v>98000</v>
      </c>
      <c r="W216" s="150">
        <f t="shared" si="56"/>
        <v>1657002</v>
      </c>
      <c r="X216" s="150">
        <f t="shared" si="56"/>
        <v>1620000</v>
      </c>
      <c r="Y216" s="150">
        <f t="shared" si="56"/>
        <v>0</v>
      </c>
      <c r="Z216" s="150">
        <f t="shared" si="56"/>
        <v>99296</v>
      </c>
      <c r="AA216" s="903">
        <f t="shared" si="56"/>
        <v>152876.25</v>
      </c>
      <c r="AB216" s="510">
        <f t="shared" si="56"/>
        <v>350000</v>
      </c>
      <c r="AC216" s="150">
        <f t="shared" si="56"/>
        <v>364200</v>
      </c>
      <c r="AD216" s="150">
        <f t="shared" si="56"/>
        <v>0</v>
      </c>
      <c r="AE216" s="150">
        <f t="shared" si="56"/>
        <v>515869</v>
      </c>
      <c r="AF216" s="150">
        <f t="shared" si="56"/>
        <v>0</v>
      </c>
      <c r="AG216" s="150">
        <f t="shared" si="56"/>
        <v>0</v>
      </c>
      <c r="AH216" s="786">
        <f t="shared" si="52"/>
        <v>5823540.7800000003</v>
      </c>
      <c r="AI216" s="1082"/>
      <c r="AJ216" s="490"/>
      <c r="AK216" s="509"/>
      <c r="AL216" s="765"/>
      <c r="AM216" s="769"/>
      <c r="AN216" s="396"/>
      <c r="AO216" s="397"/>
      <c r="AP216" s="37"/>
      <c r="AQ216" s="55"/>
      <c r="AR216" s="55"/>
      <c r="AS216" s="55"/>
      <c r="AT216" s="55"/>
      <c r="AU216" s="55"/>
      <c r="AV216" s="55"/>
      <c r="AW216" s="55"/>
      <c r="AX216" s="55"/>
      <c r="AY216" s="55"/>
      <c r="AZ216" s="55"/>
      <c r="BA216" s="55"/>
    </row>
    <row r="217" spans="1:53" ht="18.75" customHeight="1" x14ac:dyDescent="0.3">
      <c r="A217" s="743"/>
      <c r="B217" s="511"/>
      <c r="C217" s="484"/>
      <c r="D217" s="512" t="s">
        <v>239</v>
      </c>
      <c r="E217" s="153">
        <f>SUM(E193-E215)+176700</f>
        <v>655373.80000000005</v>
      </c>
      <c r="F217" s="153">
        <f>SUM(F193-F215)+150000</f>
        <v>195850.66999999998</v>
      </c>
      <c r="G217" s="153">
        <f>SUM(G193-G215)-295600</f>
        <v>26095</v>
      </c>
      <c r="H217" s="153">
        <f>SUM(H193-H215)</f>
        <v>0</v>
      </c>
      <c r="I217" s="153">
        <f>SUM(I193-I215)</f>
        <v>0</v>
      </c>
      <c r="J217" s="153">
        <f>SUM(J193-J215)</f>
        <v>-2600</v>
      </c>
      <c r="K217" s="153">
        <f>SUM(K193-K215)</f>
        <v>0</v>
      </c>
      <c r="L217" s="153">
        <f>SUM(L193-L215)-100000</f>
        <v>93310</v>
      </c>
      <c r="M217" s="153">
        <f>SUM(M193-M215)-46700</f>
        <v>-376700</v>
      </c>
      <c r="N217" s="513">
        <f>SUM(N193-N215)</f>
        <v>-23600</v>
      </c>
      <c r="O217" s="153">
        <f>SUM(O193-O215)+400000</f>
        <v>594283</v>
      </c>
      <c r="P217" s="153">
        <f>SUM(P193-P215)+26700</f>
        <v>79490</v>
      </c>
      <c r="Q217" s="153">
        <f>SUM(Q193-Q215)+1573400</f>
        <v>1573400</v>
      </c>
      <c r="R217" s="153">
        <f>SUM(R193-R215)</f>
        <v>0</v>
      </c>
      <c r="S217" s="153">
        <f>SUM(S193-S215)</f>
        <v>0</v>
      </c>
      <c r="T217" s="153">
        <f t="shared" ref="T217:AB217" si="57">SUM(T193-T215)+100000</f>
        <v>100000</v>
      </c>
      <c r="U217" s="153">
        <f t="shared" si="57"/>
        <v>488945</v>
      </c>
      <c r="V217" s="153">
        <f t="shared" si="57"/>
        <v>76900</v>
      </c>
      <c r="W217" s="153">
        <f t="shared" si="57"/>
        <v>-363343</v>
      </c>
      <c r="X217" s="153">
        <f t="shared" si="57"/>
        <v>-15200</v>
      </c>
      <c r="Y217" s="153">
        <f t="shared" si="57"/>
        <v>289600</v>
      </c>
      <c r="Z217" s="153">
        <f t="shared" si="57"/>
        <v>100000</v>
      </c>
      <c r="AA217" s="904">
        <f t="shared" si="57"/>
        <v>107123.75</v>
      </c>
      <c r="AB217" s="513">
        <f t="shared" si="57"/>
        <v>-75200</v>
      </c>
      <c r="AC217" s="153">
        <f>SUM(AC193-AC215)</f>
        <v>-166200</v>
      </c>
      <c r="AD217" s="153">
        <f>SUM(AD193-AD215)</f>
        <v>0</v>
      </c>
      <c r="AE217" s="153">
        <f>SUM(AE193-AE215)</f>
        <v>7984131</v>
      </c>
      <c r="AF217" s="153">
        <f>SUM(AF193-AF215)</f>
        <v>716400</v>
      </c>
      <c r="AG217" s="153">
        <f>SUM(AG193-AG215)</f>
        <v>1113800</v>
      </c>
      <c r="AH217" s="787">
        <f t="shared" si="52"/>
        <v>13171859.219999999</v>
      </c>
      <c r="AI217" s="1082"/>
      <c r="AJ217" s="490"/>
      <c r="AK217" s="509"/>
      <c r="AL217" s="765"/>
      <c r="AM217" s="769"/>
      <c r="AN217" s="396"/>
      <c r="AO217" s="397"/>
      <c r="AP217" s="37"/>
      <c r="AQ217" s="55"/>
      <c r="AR217" s="55"/>
      <c r="AS217" s="55"/>
      <c r="AT217" s="55"/>
      <c r="AU217" s="55"/>
      <c r="AV217" s="55"/>
      <c r="AW217" s="55"/>
      <c r="AX217" s="55"/>
      <c r="AY217" s="55"/>
      <c r="AZ217" s="55"/>
      <c r="BA217" s="55"/>
    </row>
    <row r="218" spans="1:53" ht="18.75" customHeight="1" x14ac:dyDescent="0.3">
      <c r="A218" s="1035" t="s">
        <v>240</v>
      </c>
      <c r="B218" s="171"/>
      <c r="C218" s="955"/>
      <c r="D218" s="41"/>
      <c r="E218" s="684"/>
      <c r="F218" s="684"/>
      <c r="G218" s="684"/>
      <c r="H218" s="684"/>
      <c r="I218" s="684"/>
      <c r="J218" s="966"/>
      <c r="K218" s="966"/>
      <c r="L218" s="966"/>
      <c r="M218" s="684"/>
      <c r="N218" s="37"/>
      <c r="O218" s="684"/>
      <c r="P218" s="37"/>
      <c r="Q218" s="684"/>
      <c r="R218" s="684"/>
      <c r="S218" s="684"/>
      <c r="T218" s="684"/>
      <c r="U218" s="37"/>
      <c r="V218" s="684"/>
      <c r="W218" s="37"/>
      <c r="X218" s="684"/>
      <c r="Y218" s="37"/>
      <c r="Z218" s="684"/>
      <c r="AA218" s="897"/>
      <c r="AB218" s="870"/>
      <c r="AC218" s="684"/>
      <c r="AD218" s="684"/>
      <c r="AE218" s="684"/>
      <c r="AF218" s="684"/>
      <c r="AG218" s="684"/>
      <c r="AH218" s="1068"/>
      <c r="AI218" s="937"/>
      <c r="AJ218" s="42"/>
      <c r="AK218" s="494"/>
      <c r="AL218" s="764"/>
      <c r="AM218" s="769"/>
      <c r="AN218" s="481"/>
      <c r="AO218" s="395"/>
      <c r="AP218" s="37"/>
      <c r="AQ218" s="37"/>
      <c r="AR218" s="37"/>
      <c r="AS218" s="476"/>
      <c r="AT218" s="476"/>
      <c r="AU218" s="476"/>
      <c r="AV218" s="476"/>
      <c r="AW218" s="476"/>
      <c r="AX218" s="476"/>
      <c r="AY218" s="476"/>
      <c r="AZ218" s="476"/>
      <c r="BA218" s="476"/>
    </row>
    <row r="219" spans="1:53" ht="18.75" x14ac:dyDescent="0.3">
      <c r="A219" s="957"/>
      <c r="B219" s="171"/>
      <c r="C219" s="955"/>
      <c r="D219" s="34"/>
      <c r="E219" s="684"/>
      <c r="F219" s="684"/>
      <c r="G219" s="684"/>
      <c r="H219" s="684"/>
      <c r="I219" s="684"/>
      <c r="J219" s="684"/>
      <c r="K219" s="684"/>
      <c r="L219" s="684"/>
      <c r="M219" s="684"/>
      <c r="N219" s="37"/>
      <c r="O219" s="684"/>
      <c r="P219" s="37"/>
      <c r="Q219" s="684"/>
      <c r="R219" s="684"/>
      <c r="S219" s="684"/>
      <c r="T219" s="684"/>
      <c r="U219" s="37"/>
      <c r="V219" s="684"/>
      <c r="W219" s="37"/>
      <c r="X219" s="684"/>
      <c r="Y219" s="37"/>
      <c r="Z219" s="684"/>
      <c r="AA219" s="897"/>
      <c r="AB219" s="870"/>
      <c r="AC219" s="684"/>
      <c r="AD219" s="684"/>
      <c r="AE219" s="684"/>
      <c r="AF219" s="684"/>
      <c r="AG219" s="684"/>
      <c r="AH219" s="807">
        <f t="shared" ref="AH219:AH241" si="58">SUM(E219:AG219)</f>
        <v>0</v>
      </c>
      <c r="AI219" s="937"/>
      <c r="AJ219" s="42"/>
      <c r="AK219" s="494"/>
      <c r="AL219" s="764"/>
      <c r="AM219" s="769">
        <f>AH219-AK219-AL219</f>
        <v>0</v>
      </c>
      <c r="AN219" s="881"/>
      <c r="AO219" s="882"/>
      <c r="AP219" s="870"/>
      <c r="AQ219" s="870"/>
      <c r="AR219" s="870"/>
      <c r="AS219" s="870"/>
      <c r="AT219" s="870"/>
      <c r="AU219" s="870"/>
      <c r="AV219" s="870"/>
      <c r="AW219" s="870"/>
      <c r="AX219" s="870"/>
      <c r="AY219" s="870"/>
      <c r="AZ219" s="870"/>
      <c r="BA219" s="870">
        <f>SUM(AO219:AZ219)</f>
        <v>0</v>
      </c>
    </row>
    <row r="220" spans="1:53" ht="18.75" x14ac:dyDescent="0.3">
      <c r="A220" s="957"/>
      <c r="B220" s="171"/>
      <c r="C220" s="955"/>
      <c r="D220" s="34"/>
      <c r="E220" s="684"/>
      <c r="F220" s="684"/>
      <c r="G220" s="684"/>
      <c r="H220" s="684"/>
      <c r="I220" s="684"/>
      <c r="J220" s="684"/>
      <c r="K220" s="684"/>
      <c r="L220" s="684"/>
      <c r="M220" s="684"/>
      <c r="N220" s="37"/>
      <c r="O220" s="684"/>
      <c r="P220" s="37"/>
      <c r="Q220" s="684"/>
      <c r="R220" s="684"/>
      <c r="S220" s="684"/>
      <c r="T220" s="684"/>
      <c r="U220" s="37"/>
      <c r="V220" s="684"/>
      <c r="W220" s="37"/>
      <c r="X220" s="684"/>
      <c r="Y220" s="37"/>
      <c r="Z220" s="684"/>
      <c r="AA220" s="897"/>
      <c r="AB220" s="870"/>
      <c r="AC220" s="684"/>
      <c r="AD220" s="684"/>
      <c r="AE220" s="684"/>
      <c r="AF220" s="684"/>
      <c r="AG220" s="684"/>
      <c r="AH220" s="807">
        <f t="shared" si="58"/>
        <v>0</v>
      </c>
      <c r="AI220" s="937"/>
      <c r="AJ220" s="42"/>
      <c r="AK220" s="494"/>
      <c r="AL220" s="764"/>
      <c r="AM220" s="769">
        <f t="shared" ref="AM220:AM238" si="59">AH220-AK220-AL220</f>
        <v>0</v>
      </c>
      <c r="AN220" s="881"/>
      <c r="AO220" s="882"/>
      <c r="AP220" s="870"/>
      <c r="AQ220" s="870"/>
      <c r="AR220" s="870"/>
      <c r="AS220" s="870"/>
      <c r="AT220" s="870"/>
      <c r="AU220" s="870"/>
      <c r="AV220" s="870"/>
      <c r="AW220" s="870"/>
      <c r="AX220" s="870"/>
      <c r="AY220" s="870"/>
      <c r="AZ220" s="870"/>
      <c r="BA220" s="870">
        <f t="shared" ref="BA220:BA238" si="60">SUM(AO220:AZ220)</f>
        <v>0</v>
      </c>
    </row>
    <row r="221" spans="1:53" ht="18.75" x14ac:dyDescent="0.3">
      <c r="A221" s="957"/>
      <c r="B221" s="171"/>
      <c r="C221" s="955"/>
      <c r="D221" s="34"/>
      <c r="E221" s="684"/>
      <c r="F221" s="684"/>
      <c r="G221" s="684"/>
      <c r="H221" s="684"/>
      <c r="I221" s="684"/>
      <c r="J221" s="684"/>
      <c r="K221" s="684"/>
      <c r="L221" s="684"/>
      <c r="M221" s="684"/>
      <c r="N221" s="37"/>
      <c r="O221" s="684"/>
      <c r="P221" s="37"/>
      <c r="Q221" s="684"/>
      <c r="R221" s="684"/>
      <c r="S221" s="684"/>
      <c r="T221" s="684"/>
      <c r="U221" s="37"/>
      <c r="V221" s="684"/>
      <c r="W221" s="37"/>
      <c r="X221" s="684"/>
      <c r="Y221" s="37"/>
      <c r="Z221" s="684"/>
      <c r="AA221" s="897"/>
      <c r="AB221" s="870"/>
      <c r="AC221" s="684"/>
      <c r="AD221" s="684"/>
      <c r="AE221" s="684"/>
      <c r="AF221" s="684"/>
      <c r="AG221" s="684"/>
      <c r="AH221" s="807">
        <f t="shared" si="58"/>
        <v>0</v>
      </c>
      <c r="AI221" s="937"/>
      <c r="AJ221" s="65"/>
      <c r="AK221" s="494"/>
      <c r="AL221" s="764"/>
      <c r="AM221" s="769">
        <f t="shared" si="59"/>
        <v>0</v>
      </c>
      <c r="AN221" s="881"/>
      <c r="AO221" s="882"/>
      <c r="AP221" s="870"/>
      <c r="AQ221" s="870"/>
      <c r="AR221" s="870"/>
      <c r="AS221" s="870"/>
      <c r="AT221" s="870"/>
      <c r="AU221" s="870"/>
      <c r="AV221" s="870"/>
      <c r="AW221" s="870"/>
      <c r="AX221" s="870"/>
      <c r="AY221" s="870"/>
      <c r="AZ221" s="870"/>
      <c r="BA221" s="870">
        <f t="shared" si="60"/>
        <v>0</v>
      </c>
    </row>
    <row r="222" spans="1:53" ht="18.75" x14ac:dyDescent="0.3">
      <c r="A222" s="957"/>
      <c r="B222" s="871"/>
      <c r="C222" s="840"/>
      <c r="D222" s="34"/>
      <c r="E222" s="684"/>
      <c r="F222" s="684"/>
      <c r="G222" s="684"/>
      <c r="H222" s="684"/>
      <c r="I222" s="684"/>
      <c r="J222" s="684"/>
      <c r="K222" s="684"/>
      <c r="L222" s="684"/>
      <c r="M222" s="684"/>
      <c r="N222" s="37"/>
      <c r="O222" s="684"/>
      <c r="P222" s="37"/>
      <c r="Q222" s="684"/>
      <c r="R222" s="684"/>
      <c r="S222" s="684"/>
      <c r="T222" s="684"/>
      <c r="U222" s="37"/>
      <c r="V222" s="684"/>
      <c r="W222" s="37"/>
      <c r="X222" s="684"/>
      <c r="Y222" s="37"/>
      <c r="Z222" s="684"/>
      <c r="AA222" s="897"/>
      <c r="AB222" s="870"/>
      <c r="AC222" s="684"/>
      <c r="AD222" s="684"/>
      <c r="AE222" s="684"/>
      <c r="AF222" s="684"/>
      <c r="AG222" s="684"/>
      <c r="AH222" s="807">
        <f t="shared" si="58"/>
        <v>0</v>
      </c>
      <c r="AI222" s="940"/>
      <c r="AJ222" s="874"/>
      <c r="AK222" s="875"/>
      <c r="AL222" s="764"/>
      <c r="AM222" s="769">
        <f t="shared" si="59"/>
        <v>0</v>
      </c>
      <c r="AN222" s="881"/>
      <c r="AO222" s="882"/>
      <c r="AP222" s="870"/>
      <c r="AQ222" s="870"/>
      <c r="AR222" s="870"/>
      <c r="AS222" s="870"/>
      <c r="AT222" s="870"/>
      <c r="AU222" s="870"/>
      <c r="AV222" s="870"/>
      <c r="AW222" s="870"/>
      <c r="AX222" s="870"/>
      <c r="AY222" s="870"/>
      <c r="AZ222" s="870"/>
      <c r="BA222" s="870">
        <f t="shared" si="60"/>
        <v>0</v>
      </c>
    </row>
    <row r="223" spans="1:53" ht="18.75" x14ac:dyDescent="0.3">
      <c r="A223" s="957"/>
      <c r="B223" s="871"/>
      <c r="C223" s="955"/>
      <c r="D223" s="34"/>
      <c r="E223" s="684"/>
      <c r="F223" s="684"/>
      <c r="G223" s="684"/>
      <c r="H223" s="684"/>
      <c r="I223" s="684"/>
      <c r="J223" s="684"/>
      <c r="K223" s="684"/>
      <c r="L223" s="684"/>
      <c r="M223" s="684"/>
      <c r="N223" s="37"/>
      <c r="O223" s="684"/>
      <c r="P223" s="37"/>
      <c r="Q223" s="684"/>
      <c r="R223" s="684"/>
      <c r="S223" s="684"/>
      <c r="T223" s="684"/>
      <c r="U223" s="37"/>
      <c r="V223" s="684"/>
      <c r="W223" s="37"/>
      <c r="X223" s="684"/>
      <c r="Y223" s="37"/>
      <c r="Z223" s="684"/>
      <c r="AA223" s="897"/>
      <c r="AB223" s="870"/>
      <c r="AC223" s="684"/>
      <c r="AD223" s="684"/>
      <c r="AE223" s="684"/>
      <c r="AF223" s="684"/>
      <c r="AG223" s="684"/>
      <c r="AH223" s="807">
        <f t="shared" si="58"/>
        <v>0</v>
      </c>
      <c r="AI223" s="940"/>
      <c r="AJ223" s="874"/>
      <c r="AK223" s="494"/>
      <c r="AL223" s="764"/>
      <c r="AM223" s="769">
        <f t="shared" si="59"/>
        <v>0</v>
      </c>
      <c r="AN223" s="881"/>
      <c r="AO223" s="882"/>
      <c r="AP223" s="870"/>
      <c r="AQ223" s="886"/>
      <c r="AR223" s="870"/>
      <c r="AS223" s="870"/>
      <c r="AT223" s="870"/>
      <c r="AU223" s="870"/>
      <c r="AV223" s="870"/>
      <c r="AW223" s="870"/>
      <c r="AX223" s="870"/>
      <c r="AY223" s="870"/>
      <c r="AZ223" s="870"/>
      <c r="BA223" s="870">
        <f t="shared" si="60"/>
        <v>0</v>
      </c>
    </row>
    <row r="224" spans="1:53" ht="18.75" x14ac:dyDescent="0.3">
      <c r="A224" s="957"/>
      <c r="B224" s="871"/>
      <c r="C224" s="955"/>
      <c r="D224" s="34"/>
      <c r="E224" s="684"/>
      <c r="F224" s="684"/>
      <c r="G224" s="684"/>
      <c r="H224" s="684"/>
      <c r="I224" s="684"/>
      <c r="J224" s="684"/>
      <c r="K224" s="684"/>
      <c r="L224" s="684"/>
      <c r="M224" s="684"/>
      <c r="N224" s="37"/>
      <c r="O224" s="684"/>
      <c r="P224" s="37"/>
      <c r="Q224" s="684"/>
      <c r="R224" s="684"/>
      <c r="S224" s="684"/>
      <c r="T224" s="684"/>
      <c r="U224" s="37"/>
      <c r="V224" s="684"/>
      <c r="W224" s="37"/>
      <c r="X224" s="684"/>
      <c r="Y224" s="37"/>
      <c r="Z224" s="684"/>
      <c r="AA224" s="897"/>
      <c r="AB224" s="870"/>
      <c r="AC224" s="684"/>
      <c r="AD224" s="684"/>
      <c r="AE224" s="684"/>
      <c r="AF224" s="684"/>
      <c r="AG224" s="684"/>
      <c r="AH224" s="807">
        <f t="shared" si="58"/>
        <v>0</v>
      </c>
      <c r="AI224" s="940"/>
      <c r="AJ224" s="874"/>
      <c r="AK224" s="494"/>
      <c r="AL224" s="764"/>
      <c r="AM224" s="769">
        <f t="shared" si="59"/>
        <v>0</v>
      </c>
      <c r="AN224" s="881"/>
      <c r="AO224" s="882"/>
      <c r="AP224" s="870"/>
      <c r="AQ224" s="870"/>
      <c r="AR224" s="870"/>
      <c r="AS224" s="870"/>
      <c r="AT224" s="870"/>
      <c r="AU224" s="870"/>
      <c r="AV224" s="870"/>
      <c r="AW224" s="870"/>
      <c r="AX224" s="870"/>
      <c r="AY224" s="870"/>
      <c r="AZ224" s="870"/>
      <c r="BA224" s="870">
        <f t="shared" si="60"/>
        <v>0</v>
      </c>
    </row>
    <row r="225" spans="1:53" ht="18.75" x14ac:dyDescent="0.3">
      <c r="A225" s="957"/>
      <c r="B225" s="871"/>
      <c r="C225" s="955"/>
      <c r="D225" s="34"/>
      <c r="E225" s="684"/>
      <c r="F225" s="684"/>
      <c r="G225" s="684"/>
      <c r="H225" s="684"/>
      <c r="I225" s="684"/>
      <c r="J225" s="684"/>
      <c r="K225" s="684"/>
      <c r="L225" s="684"/>
      <c r="M225" s="684"/>
      <c r="N225" s="37"/>
      <c r="O225" s="684"/>
      <c r="P225" s="37"/>
      <c r="Q225" s="684"/>
      <c r="R225" s="684"/>
      <c r="S225" s="684"/>
      <c r="T225" s="684"/>
      <c r="U225" s="37"/>
      <c r="V225" s="684"/>
      <c r="W225" s="37"/>
      <c r="X225" s="684"/>
      <c r="Y225" s="37"/>
      <c r="Z225" s="684"/>
      <c r="AA225" s="897"/>
      <c r="AB225" s="870"/>
      <c r="AC225" s="684"/>
      <c r="AD225" s="684"/>
      <c r="AE225" s="684"/>
      <c r="AF225" s="684"/>
      <c r="AG225" s="684"/>
      <c r="AH225" s="807">
        <f t="shared" si="58"/>
        <v>0</v>
      </c>
      <c r="AI225" s="937"/>
      <c r="AJ225" s="876"/>
      <c r="AK225" s="494"/>
      <c r="AL225" s="764"/>
      <c r="AM225" s="769">
        <f t="shared" si="59"/>
        <v>0</v>
      </c>
      <c r="AN225" s="881"/>
      <c r="AO225" s="882"/>
      <c r="AP225" s="870"/>
      <c r="AQ225" s="870"/>
      <c r="AR225" s="870"/>
      <c r="AS225" s="870"/>
      <c r="AT225" s="870"/>
      <c r="AU225" s="870"/>
      <c r="AV225" s="870"/>
      <c r="AW225" s="870"/>
      <c r="AX225" s="870"/>
      <c r="AY225" s="870"/>
      <c r="AZ225" s="870"/>
      <c r="BA225" s="870">
        <f t="shared" si="60"/>
        <v>0</v>
      </c>
    </row>
    <row r="226" spans="1:53" ht="18.75" x14ac:dyDescent="0.3">
      <c r="A226" s="957"/>
      <c r="B226" s="871"/>
      <c r="C226" s="955"/>
      <c r="D226" s="34"/>
      <c r="E226" s="684"/>
      <c r="F226" s="684"/>
      <c r="G226" s="684"/>
      <c r="H226" s="684"/>
      <c r="I226" s="684"/>
      <c r="J226" s="684"/>
      <c r="K226" s="684"/>
      <c r="L226" s="684"/>
      <c r="M226" s="684"/>
      <c r="N226" s="37"/>
      <c r="O226" s="684"/>
      <c r="P226" s="37"/>
      <c r="Q226" s="684"/>
      <c r="R226" s="684"/>
      <c r="S226" s="684"/>
      <c r="T226" s="684"/>
      <c r="U226" s="37"/>
      <c r="V226" s="684"/>
      <c r="W226" s="37"/>
      <c r="X226" s="684"/>
      <c r="Y226" s="37"/>
      <c r="Z226" s="684"/>
      <c r="AA226" s="897"/>
      <c r="AB226" s="870"/>
      <c r="AC226" s="684"/>
      <c r="AD226" s="684"/>
      <c r="AE226" s="684"/>
      <c r="AF226" s="684"/>
      <c r="AG226" s="684"/>
      <c r="AH226" s="1036">
        <f t="shared" si="58"/>
        <v>0</v>
      </c>
      <c r="AI226" s="940"/>
      <c r="AJ226" s="874"/>
      <c r="AK226" s="494"/>
      <c r="AL226" s="764"/>
      <c r="AM226" s="769">
        <f t="shared" si="59"/>
        <v>0</v>
      </c>
      <c r="AN226" s="881"/>
      <c r="AO226" s="882"/>
      <c r="AP226" s="870"/>
      <c r="AQ226" s="870"/>
      <c r="AR226" s="870"/>
      <c r="AS226" s="870"/>
      <c r="AT226" s="870"/>
      <c r="AU226" s="870"/>
      <c r="AV226" s="870"/>
      <c r="AW226" s="870"/>
      <c r="AX226" s="870"/>
      <c r="AY226" s="870"/>
      <c r="AZ226" s="870"/>
      <c r="BA226" s="870">
        <f t="shared" si="60"/>
        <v>0</v>
      </c>
    </row>
    <row r="227" spans="1:53" ht="18.75" x14ac:dyDescent="0.3">
      <c r="A227" s="957"/>
      <c r="B227" s="871"/>
      <c r="C227" s="955"/>
      <c r="D227" s="34"/>
      <c r="E227" s="684"/>
      <c r="F227" s="684"/>
      <c r="G227" s="684"/>
      <c r="H227" s="684"/>
      <c r="I227" s="684"/>
      <c r="J227" s="684"/>
      <c r="K227" s="684"/>
      <c r="L227" s="684"/>
      <c r="M227" s="684"/>
      <c r="N227" s="37"/>
      <c r="O227" s="684"/>
      <c r="P227" s="37"/>
      <c r="Q227" s="684"/>
      <c r="R227" s="684"/>
      <c r="S227" s="684"/>
      <c r="T227" s="684"/>
      <c r="U227" s="37"/>
      <c r="V227" s="684"/>
      <c r="W227" s="37"/>
      <c r="X227" s="684"/>
      <c r="Y227" s="37"/>
      <c r="Z227" s="684"/>
      <c r="AA227" s="897"/>
      <c r="AB227" s="870"/>
      <c r="AC227" s="684"/>
      <c r="AD227" s="684"/>
      <c r="AE227" s="684"/>
      <c r="AF227" s="684"/>
      <c r="AG227" s="684"/>
      <c r="AH227" s="807">
        <f t="shared" si="58"/>
        <v>0</v>
      </c>
      <c r="AI227" s="940"/>
      <c r="AJ227" s="874"/>
      <c r="AK227" s="494"/>
      <c r="AL227" s="764"/>
      <c r="AM227" s="769">
        <f t="shared" si="59"/>
        <v>0</v>
      </c>
      <c r="AN227" s="881"/>
      <c r="AO227" s="886"/>
      <c r="AP227" s="886"/>
      <c r="AQ227" s="870"/>
      <c r="AR227" s="870"/>
      <c r="AS227" s="870"/>
      <c r="AT227" s="870"/>
      <c r="AU227" s="870"/>
      <c r="AV227" s="870"/>
      <c r="AW227" s="870"/>
      <c r="AX227" s="870"/>
      <c r="AY227" s="870"/>
      <c r="AZ227" s="870"/>
      <c r="BA227" s="870">
        <f t="shared" si="60"/>
        <v>0</v>
      </c>
    </row>
    <row r="228" spans="1:53" ht="18.75" x14ac:dyDescent="0.3">
      <c r="A228" s="1079"/>
      <c r="B228" s="171"/>
      <c r="C228" s="955"/>
      <c r="D228" s="34"/>
      <c r="E228" s="684"/>
      <c r="F228" s="684"/>
      <c r="G228" s="684"/>
      <c r="H228" s="684"/>
      <c r="I228" s="684"/>
      <c r="J228" s="684"/>
      <c r="K228" s="684"/>
      <c r="L228" s="684"/>
      <c r="M228" s="684"/>
      <c r="N228" s="37"/>
      <c r="O228" s="684"/>
      <c r="P228" s="37"/>
      <c r="Q228" s="684"/>
      <c r="R228" s="684"/>
      <c r="S228" s="684"/>
      <c r="T228" s="684"/>
      <c r="U228" s="37"/>
      <c r="V228" s="684"/>
      <c r="W228" s="37"/>
      <c r="X228" s="684"/>
      <c r="Y228" s="37"/>
      <c r="Z228" s="684"/>
      <c r="AA228" s="897"/>
      <c r="AB228" s="870"/>
      <c r="AC228" s="684"/>
      <c r="AD228" s="684"/>
      <c r="AE228" s="684"/>
      <c r="AF228" s="684"/>
      <c r="AG228" s="684"/>
      <c r="AH228" s="807">
        <f t="shared" si="58"/>
        <v>0</v>
      </c>
      <c r="AI228" s="937"/>
      <c r="AJ228" s="42"/>
      <c r="AK228" s="494"/>
      <c r="AL228" s="764"/>
      <c r="AM228" s="769">
        <f t="shared" si="59"/>
        <v>0</v>
      </c>
      <c r="AN228" s="881"/>
      <c r="AO228" s="882"/>
      <c r="AP228" s="883"/>
      <c r="AQ228" s="883"/>
      <c r="AR228" s="883"/>
      <c r="AS228" s="883"/>
      <c r="AT228" s="883"/>
      <c r="AU228" s="883"/>
      <c r="AV228" s="883"/>
      <c r="AW228" s="883"/>
      <c r="AX228" s="883"/>
      <c r="AY228" s="883"/>
      <c r="AZ228" s="883"/>
      <c r="BA228" s="870">
        <f t="shared" si="60"/>
        <v>0</v>
      </c>
    </row>
    <row r="229" spans="1:53" ht="18.75" x14ac:dyDescent="0.3">
      <c r="A229" s="1079"/>
      <c r="B229" s="171"/>
      <c r="C229" s="955"/>
      <c r="D229" s="41"/>
      <c r="E229" s="684"/>
      <c r="F229" s="684"/>
      <c r="G229" s="684"/>
      <c r="H229" s="684"/>
      <c r="I229" s="684"/>
      <c r="J229" s="684"/>
      <c r="K229" s="684"/>
      <c r="L229" s="684"/>
      <c r="M229" s="684"/>
      <c r="N229" s="37"/>
      <c r="O229" s="684"/>
      <c r="P229" s="37"/>
      <c r="Q229" s="684"/>
      <c r="R229" s="684"/>
      <c r="S229" s="684"/>
      <c r="T229" s="684"/>
      <c r="U229" s="37"/>
      <c r="V229" s="684"/>
      <c r="W229" s="37"/>
      <c r="X229" s="684"/>
      <c r="Y229" s="37"/>
      <c r="Z229" s="684"/>
      <c r="AA229" s="897"/>
      <c r="AB229" s="870"/>
      <c r="AC229" s="684"/>
      <c r="AD229" s="684"/>
      <c r="AE229" s="684"/>
      <c r="AF229" s="684"/>
      <c r="AG229" s="684"/>
      <c r="AH229" s="807">
        <f t="shared" si="58"/>
        <v>0</v>
      </c>
      <c r="AI229" s="937"/>
      <c r="AJ229" s="42"/>
      <c r="AK229" s="494"/>
      <c r="AL229" s="764"/>
      <c r="AM229" s="769">
        <f t="shared" si="59"/>
        <v>0</v>
      </c>
      <c r="AN229" s="881"/>
      <c r="AO229" s="882"/>
      <c r="AP229" s="883"/>
      <c r="AQ229" s="883"/>
      <c r="AR229" s="883"/>
      <c r="AS229" s="883"/>
      <c r="AT229" s="883"/>
      <c r="AU229" s="883"/>
      <c r="AV229" s="883"/>
      <c r="AW229" s="883"/>
      <c r="AX229" s="883"/>
      <c r="AY229" s="883"/>
      <c r="AZ229" s="883"/>
      <c r="BA229" s="870">
        <f t="shared" si="60"/>
        <v>0</v>
      </c>
    </row>
    <row r="230" spans="1:53" ht="18.75" x14ac:dyDescent="0.3">
      <c r="A230" s="1079"/>
      <c r="B230" s="171"/>
      <c r="C230" s="955"/>
      <c r="D230" s="34"/>
      <c r="E230" s="684"/>
      <c r="F230" s="684"/>
      <c r="G230" s="684"/>
      <c r="H230" s="684"/>
      <c r="I230" s="684"/>
      <c r="J230" s="684"/>
      <c r="K230" s="684"/>
      <c r="L230" s="684"/>
      <c r="M230" s="684"/>
      <c r="N230" s="37"/>
      <c r="O230" s="684"/>
      <c r="P230" s="37"/>
      <c r="Q230" s="684"/>
      <c r="R230" s="684"/>
      <c r="S230" s="684"/>
      <c r="T230" s="684"/>
      <c r="U230" s="37"/>
      <c r="V230" s="684"/>
      <c r="W230" s="37"/>
      <c r="X230" s="684"/>
      <c r="Y230" s="37"/>
      <c r="Z230" s="684"/>
      <c r="AA230" s="897"/>
      <c r="AB230" s="870"/>
      <c r="AC230" s="684"/>
      <c r="AD230" s="684"/>
      <c r="AE230" s="684"/>
      <c r="AF230" s="684"/>
      <c r="AG230" s="684"/>
      <c r="AH230" s="807">
        <f t="shared" si="58"/>
        <v>0</v>
      </c>
      <c r="AI230" s="937"/>
      <c r="AJ230" s="42"/>
      <c r="AK230" s="494"/>
      <c r="AL230" s="764"/>
      <c r="AM230" s="769">
        <f t="shared" si="59"/>
        <v>0</v>
      </c>
      <c r="AN230" s="881"/>
      <c r="AO230" s="882"/>
      <c r="AP230" s="883"/>
      <c r="AQ230" s="883"/>
      <c r="AR230" s="883"/>
      <c r="AS230" s="883"/>
      <c r="AT230" s="883"/>
      <c r="AU230" s="883"/>
      <c r="AV230" s="883"/>
      <c r="AW230" s="883"/>
      <c r="AX230" s="883"/>
      <c r="AY230" s="883"/>
      <c r="AZ230" s="883"/>
      <c r="BA230" s="870">
        <f t="shared" si="60"/>
        <v>0</v>
      </c>
    </row>
    <row r="231" spans="1:53" ht="18.75" x14ac:dyDescent="0.3">
      <c r="A231" s="1079"/>
      <c r="B231" s="171"/>
      <c r="C231" s="955"/>
      <c r="D231" s="34"/>
      <c r="E231" s="684"/>
      <c r="F231" s="684"/>
      <c r="G231" s="684"/>
      <c r="H231" s="684"/>
      <c r="I231" s="684"/>
      <c r="J231" s="684"/>
      <c r="K231" s="684"/>
      <c r="L231" s="684"/>
      <c r="M231" s="684"/>
      <c r="N231" s="37"/>
      <c r="O231" s="684"/>
      <c r="P231" s="37"/>
      <c r="Q231" s="684"/>
      <c r="R231" s="684"/>
      <c r="S231" s="684"/>
      <c r="T231" s="684"/>
      <c r="U231" s="37"/>
      <c r="V231" s="684"/>
      <c r="W231" s="37"/>
      <c r="X231" s="684"/>
      <c r="Y231" s="37"/>
      <c r="Z231" s="684"/>
      <c r="AA231" s="897"/>
      <c r="AB231" s="870"/>
      <c r="AC231" s="684"/>
      <c r="AD231" s="684"/>
      <c r="AE231" s="684"/>
      <c r="AF231" s="684"/>
      <c r="AG231" s="684"/>
      <c r="AH231" s="807">
        <f t="shared" si="58"/>
        <v>0</v>
      </c>
      <c r="AI231" s="937"/>
      <c r="AJ231" s="42"/>
      <c r="AK231" s="494"/>
      <c r="AL231" s="764"/>
      <c r="AM231" s="769">
        <f t="shared" si="59"/>
        <v>0</v>
      </c>
      <c r="AN231" s="881"/>
      <c r="AO231" s="882"/>
      <c r="AP231" s="883"/>
      <c r="AQ231" s="883"/>
      <c r="AR231" s="883"/>
      <c r="AS231" s="883"/>
      <c r="AT231" s="883"/>
      <c r="AU231" s="883"/>
      <c r="AV231" s="883"/>
      <c r="AW231" s="883"/>
      <c r="AX231" s="883"/>
      <c r="AY231" s="883"/>
      <c r="AZ231" s="883"/>
      <c r="BA231" s="870">
        <f t="shared" si="60"/>
        <v>0</v>
      </c>
    </row>
    <row r="232" spans="1:53" ht="18.75" x14ac:dyDescent="0.3">
      <c r="A232" s="1079"/>
      <c r="B232" s="171"/>
      <c r="C232" s="955"/>
      <c r="D232" s="34"/>
      <c r="E232" s="684"/>
      <c r="F232" s="684"/>
      <c r="G232" s="684"/>
      <c r="H232" s="684"/>
      <c r="I232" s="684"/>
      <c r="J232" s="684"/>
      <c r="K232" s="684"/>
      <c r="L232" s="684"/>
      <c r="M232" s="684"/>
      <c r="N232" s="37"/>
      <c r="O232" s="684"/>
      <c r="P232" s="37"/>
      <c r="Q232" s="684"/>
      <c r="R232" s="684"/>
      <c r="S232" s="684"/>
      <c r="T232" s="684"/>
      <c r="U232" s="37"/>
      <c r="V232" s="684"/>
      <c r="W232" s="37"/>
      <c r="X232" s="684"/>
      <c r="Y232" s="37"/>
      <c r="Z232" s="684"/>
      <c r="AA232" s="897"/>
      <c r="AB232" s="870"/>
      <c r="AC232" s="684"/>
      <c r="AD232" s="684"/>
      <c r="AE232" s="684"/>
      <c r="AF232" s="684"/>
      <c r="AG232" s="684"/>
      <c r="AH232" s="807">
        <f t="shared" si="58"/>
        <v>0</v>
      </c>
      <c r="AI232" s="937"/>
      <c r="AJ232" s="42"/>
      <c r="AK232" s="494"/>
      <c r="AL232" s="764"/>
      <c r="AM232" s="769">
        <f t="shared" si="59"/>
        <v>0</v>
      </c>
      <c r="AN232" s="881"/>
      <c r="AO232" s="882"/>
      <c r="AP232" s="883"/>
      <c r="AQ232" s="883"/>
      <c r="AR232" s="883"/>
      <c r="AS232" s="883"/>
      <c r="AT232" s="883"/>
      <c r="AU232" s="883"/>
      <c r="AV232" s="883"/>
      <c r="AW232" s="883"/>
      <c r="AX232" s="883"/>
      <c r="AY232" s="883"/>
      <c r="AZ232" s="883"/>
      <c r="BA232" s="870">
        <f t="shared" si="60"/>
        <v>0</v>
      </c>
    </row>
    <row r="233" spans="1:53" ht="18.75" x14ac:dyDescent="0.3">
      <c r="A233" s="1079"/>
      <c r="B233" s="171"/>
      <c r="C233" s="955"/>
      <c r="D233" s="140"/>
      <c r="E233" s="684"/>
      <c r="F233" s="684"/>
      <c r="G233" s="684"/>
      <c r="H233" s="684"/>
      <c r="I233" s="1078"/>
      <c r="J233" s="684"/>
      <c r="K233" s="684"/>
      <c r="L233" s="684"/>
      <c r="M233" s="684"/>
      <c r="N233" s="37"/>
      <c r="O233" s="684"/>
      <c r="P233" s="37"/>
      <c r="Q233" s="684"/>
      <c r="R233" s="684"/>
      <c r="S233" s="684"/>
      <c r="T233" s="684"/>
      <c r="U233" s="37"/>
      <c r="V233" s="684"/>
      <c r="W233" s="37"/>
      <c r="X233" s="684"/>
      <c r="Y233" s="37"/>
      <c r="Z233" s="684"/>
      <c r="AA233" s="897"/>
      <c r="AB233" s="870"/>
      <c r="AC233" s="684"/>
      <c r="AD233" s="684"/>
      <c r="AE233" s="684"/>
      <c r="AF233" s="684"/>
      <c r="AG233" s="684"/>
      <c r="AH233" s="807">
        <f t="shared" si="58"/>
        <v>0</v>
      </c>
      <c r="AI233" s="937"/>
      <c r="AJ233" s="42"/>
      <c r="AK233" s="494"/>
      <c r="AL233" s="764"/>
      <c r="AM233" s="769">
        <f t="shared" si="59"/>
        <v>0</v>
      </c>
      <c r="AN233" s="881"/>
      <c r="AO233" s="882"/>
      <c r="AP233" s="883"/>
      <c r="AQ233" s="883"/>
      <c r="AR233" s="883"/>
      <c r="AS233" s="883"/>
      <c r="AT233" s="883"/>
      <c r="AU233" s="883"/>
      <c r="AV233" s="883"/>
      <c r="AW233" s="883"/>
      <c r="AX233" s="883"/>
      <c r="AY233" s="883"/>
      <c r="AZ233" s="883"/>
      <c r="BA233" s="870">
        <f t="shared" si="60"/>
        <v>0</v>
      </c>
    </row>
    <row r="234" spans="1:53" ht="18.75" x14ac:dyDescent="0.3">
      <c r="A234" s="1079"/>
      <c r="B234" s="171"/>
      <c r="C234" s="955"/>
      <c r="D234" s="140"/>
      <c r="E234" s="684"/>
      <c r="F234" s="684"/>
      <c r="G234" s="684"/>
      <c r="H234" s="684"/>
      <c r="I234" s="684"/>
      <c r="J234" s="684"/>
      <c r="K234" s="684"/>
      <c r="L234" s="684"/>
      <c r="M234" s="684"/>
      <c r="N234" s="37"/>
      <c r="O234" s="684"/>
      <c r="P234" s="55"/>
      <c r="Q234" s="684"/>
      <c r="R234" s="684"/>
      <c r="S234" s="684"/>
      <c r="T234" s="684"/>
      <c r="U234" s="37"/>
      <c r="V234" s="684"/>
      <c r="W234" s="37"/>
      <c r="X234" s="684"/>
      <c r="Y234" s="37"/>
      <c r="Z234" s="684"/>
      <c r="AA234" s="897"/>
      <c r="AB234" s="870"/>
      <c r="AC234" s="684"/>
      <c r="AD234" s="684"/>
      <c r="AE234" s="684"/>
      <c r="AF234" s="684"/>
      <c r="AG234" s="684"/>
      <c r="AH234" s="807">
        <f t="shared" si="58"/>
        <v>0</v>
      </c>
      <c r="AI234" s="937"/>
      <c r="AJ234" s="42"/>
      <c r="AK234" s="494"/>
      <c r="AL234" s="764"/>
      <c r="AM234" s="769">
        <f t="shared" si="59"/>
        <v>0</v>
      </c>
      <c r="AN234" s="881"/>
      <c r="AO234" s="882"/>
      <c r="AP234" s="883"/>
      <c r="AQ234" s="883"/>
      <c r="AR234" s="883"/>
      <c r="AS234" s="883"/>
      <c r="AT234" s="883"/>
      <c r="AU234" s="883"/>
      <c r="AV234" s="883"/>
      <c r="AW234" s="883"/>
      <c r="AX234" s="883"/>
      <c r="AY234" s="883"/>
      <c r="AZ234" s="883"/>
      <c r="BA234" s="870">
        <f t="shared" si="60"/>
        <v>0</v>
      </c>
    </row>
    <row r="235" spans="1:53" ht="18.75" x14ac:dyDescent="0.3">
      <c r="A235" s="1079"/>
      <c r="B235" s="171"/>
      <c r="C235" s="955"/>
      <c r="D235" s="140"/>
      <c r="E235" s="684"/>
      <c r="F235" s="684"/>
      <c r="G235" s="684"/>
      <c r="H235" s="684"/>
      <c r="I235" s="684"/>
      <c r="J235" s="684"/>
      <c r="K235" s="684"/>
      <c r="L235" s="1078"/>
      <c r="M235" s="684"/>
      <c r="N235" s="37"/>
      <c r="O235" s="684"/>
      <c r="P235" s="37"/>
      <c r="Q235" s="684"/>
      <c r="R235" s="684"/>
      <c r="S235" s="684"/>
      <c r="T235" s="684"/>
      <c r="U235" s="37"/>
      <c r="V235" s="684"/>
      <c r="W235" s="37"/>
      <c r="X235" s="684"/>
      <c r="Y235" s="37"/>
      <c r="Z235" s="684"/>
      <c r="AA235" s="897"/>
      <c r="AB235" s="870"/>
      <c r="AC235" s="684"/>
      <c r="AD235" s="684"/>
      <c r="AE235" s="684"/>
      <c r="AF235" s="684"/>
      <c r="AG235" s="684"/>
      <c r="AH235" s="807">
        <f t="shared" si="58"/>
        <v>0</v>
      </c>
      <c r="AI235" s="937"/>
      <c r="AJ235" s="42"/>
      <c r="AK235" s="494"/>
      <c r="AL235" s="764"/>
      <c r="AM235" s="769">
        <f t="shared" si="59"/>
        <v>0</v>
      </c>
      <c r="AN235" s="881"/>
      <c r="AO235" s="882"/>
      <c r="AP235" s="883"/>
      <c r="AQ235" s="883"/>
      <c r="AR235" s="883"/>
      <c r="AS235" s="883"/>
      <c r="AT235" s="883"/>
      <c r="AU235" s="883"/>
      <c r="AV235" s="883"/>
      <c r="AW235" s="883"/>
      <c r="AX235" s="883"/>
      <c r="AY235" s="883"/>
      <c r="AZ235" s="883"/>
      <c r="BA235" s="870">
        <f t="shared" si="60"/>
        <v>0</v>
      </c>
    </row>
    <row r="236" spans="1:53" ht="18.75" x14ac:dyDescent="0.3">
      <c r="A236" s="1079"/>
      <c r="B236" s="171"/>
      <c r="C236" s="955"/>
      <c r="D236" s="140"/>
      <c r="E236" s="684"/>
      <c r="F236" s="684"/>
      <c r="G236" s="684"/>
      <c r="H236" s="684"/>
      <c r="I236" s="684"/>
      <c r="J236" s="684"/>
      <c r="K236" s="684"/>
      <c r="L236" s="684"/>
      <c r="M236" s="1080"/>
      <c r="N236" s="37"/>
      <c r="O236" s="684"/>
      <c r="P236" s="37"/>
      <c r="Q236" s="684"/>
      <c r="R236" s="684"/>
      <c r="S236" s="684"/>
      <c r="T236" s="684"/>
      <c r="U236" s="37"/>
      <c r="V236" s="684"/>
      <c r="W236" s="37"/>
      <c r="X236" s="684"/>
      <c r="Y236" s="37"/>
      <c r="Z236" s="684"/>
      <c r="AA236" s="897"/>
      <c r="AB236" s="870"/>
      <c r="AC236" s="684"/>
      <c r="AD236" s="684"/>
      <c r="AE236" s="684"/>
      <c r="AF236" s="684"/>
      <c r="AG236" s="684"/>
      <c r="AH236" s="807">
        <f t="shared" si="58"/>
        <v>0</v>
      </c>
      <c r="AI236" s="937"/>
      <c r="AJ236" s="42"/>
      <c r="AK236" s="494"/>
      <c r="AL236" s="764"/>
      <c r="AM236" s="769">
        <f t="shared" si="59"/>
        <v>0</v>
      </c>
      <c r="AN236" s="881"/>
      <c r="AO236" s="882"/>
      <c r="AP236" s="883"/>
      <c r="AQ236" s="883"/>
      <c r="AR236" s="883"/>
      <c r="AS236" s="883"/>
      <c r="AT236" s="883"/>
      <c r="AU236" s="883"/>
      <c r="AV236" s="883"/>
      <c r="AW236" s="883"/>
      <c r="AX236" s="883"/>
      <c r="AY236" s="883"/>
      <c r="AZ236" s="883"/>
      <c r="BA236" s="870">
        <f t="shared" si="60"/>
        <v>0</v>
      </c>
    </row>
    <row r="237" spans="1:53" ht="18.75" x14ac:dyDescent="0.3">
      <c r="A237" s="1079"/>
      <c r="B237" s="171"/>
      <c r="C237" s="955"/>
      <c r="D237" s="140"/>
      <c r="E237" s="684"/>
      <c r="F237" s="684"/>
      <c r="G237" s="684"/>
      <c r="H237" s="684"/>
      <c r="I237" s="684"/>
      <c r="J237" s="684"/>
      <c r="K237" s="684"/>
      <c r="L237" s="1080"/>
      <c r="M237" s="684"/>
      <c r="N237" s="37"/>
      <c r="O237" s="684"/>
      <c r="P237" s="37"/>
      <c r="Q237" s="684"/>
      <c r="R237" s="684"/>
      <c r="S237" s="684"/>
      <c r="T237" s="684"/>
      <c r="U237" s="37"/>
      <c r="V237" s="684"/>
      <c r="W237" s="37"/>
      <c r="X237" s="684"/>
      <c r="Y237" s="37"/>
      <c r="Z237" s="684"/>
      <c r="AA237" s="897"/>
      <c r="AB237" s="870"/>
      <c r="AC237" s="684"/>
      <c r="AD237" s="684"/>
      <c r="AE237" s="684"/>
      <c r="AF237" s="684"/>
      <c r="AG237" s="684"/>
      <c r="AH237" s="807">
        <f t="shared" si="58"/>
        <v>0</v>
      </c>
      <c r="AI237" s="937"/>
      <c r="AJ237" s="42"/>
      <c r="AK237" s="494"/>
      <c r="AL237" s="764"/>
      <c r="AM237" s="769">
        <f t="shared" si="59"/>
        <v>0</v>
      </c>
      <c r="AN237" s="881"/>
      <c r="AO237" s="882"/>
      <c r="AP237" s="883"/>
      <c r="AQ237" s="883"/>
      <c r="AR237" s="883"/>
      <c r="AS237" s="883"/>
      <c r="AT237" s="883"/>
      <c r="AU237" s="883"/>
      <c r="AV237" s="883"/>
      <c r="AW237" s="883"/>
      <c r="AX237" s="883"/>
      <c r="AY237" s="883"/>
      <c r="AZ237" s="883"/>
      <c r="BA237" s="870">
        <f t="shared" si="60"/>
        <v>0</v>
      </c>
    </row>
    <row r="238" spans="1:53" ht="18.75" x14ac:dyDescent="0.3">
      <c r="A238" s="1031"/>
      <c r="B238" s="1081"/>
      <c r="C238" s="1033"/>
      <c r="D238" s="1034"/>
      <c r="E238" s="916"/>
      <c r="F238" s="916"/>
      <c r="G238" s="916"/>
      <c r="H238" s="916"/>
      <c r="I238" s="916"/>
      <c r="J238" s="916"/>
      <c r="K238" s="916"/>
      <c r="L238" s="916"/>
      <c r="M238" s="916"/>
      <c r="N238" s="888"/>
      <c r="O238" s="916"/>
      <c r="P238" s="888"/>
      <c r="Q238" s="916"/>
      <c r="R238" s="916"/>
      <c r="S238" s="916"/>
      <c r="T238" s="916"/>
      <c r="U238" s="888"/>
      <c r="V238" s="916"/>
      <c r="W238" s="888"/>
      <c r="X238" s="916"/>
      <c r="Y238" s="888"/>
      <c r="Z238" s="916"/>
      <c r="AA238" s="898"/>
      <c r="AB238" s="888"/>
      <c r="AC238" s="916"/>
      <c r="AD238" s="916"/>
      <c r="AE238" s="916"/>
      <c r="AF238" s="916"/>
      <c r="AG238" s="916"/>
      <c r="AH238" s="1049">
        <f t="shared" si="58"/>
        <v>0</v>
      </c>
      <c r="AI238" s="937"/>
      <c r="AJ238" s="42"/>
      <c r="AK238" s="494"/>
      <c r="AL238" s="764"/>
      <c r="AM238" s="769">
        <f t="shared" si="59"/>
        <v>0</v>
      </c>
      <c r="AN238" s="881"/>
      <c r="AO238" s="882"/>
      <c r="AP238" s="870"/>
      <c r="AQ238" s="870"/>
      <c r="AR238" s="870"/>
      <c r="AS238" s="870"/>
      <c r="AT238" s="870"/>
      <c r="AU238" s="870"/>
      <c r="AV238" s="870"/>
      <c r="AW238" s="870"/>
      <c r="AX238" s="870"/>
      <c r="AY238" s="870"/>
      <c r="AZ238" s="870"/>
      <c r="BA238" s="870">
        <f t="shared" si="60"/>
        <v>0</v>
      </c>
    </row>
    <row r="239" spans="1:53" ht="18.75" customHeight="1" x14ac:dyDescent="0.3">
      <c r="A239" s="742"/>
      <c r="B239" s="506"/>
      <c r="C239" s="482"/>
      <c r="D239" s="507" t="s">
        <v>241</v>
      </c>
      <c r="E239" s="150">
        <f t="shared" ref="E239:AG239" si="61">SUM(E218:E238)</f>
        <v>0</v>
      </c>
      <c r="F239" s="150">
        <f t="shared" si="61"/>
        <v>0</v>
      </c>
      <c r="G239" s="150">
        <f t="shared" si="61"/>
        <v>0</v>
      </c>
      <c r="H239" s="150">
        <f t="shared" si="61"/>
        <v>0</v>
      </c>
      <c r="I239" s="150">
        <f t="shared" si="61"/>
        <v>0</v>
      </c>
      <c r="J239" s="150">
        <f t="shared" si="61"/>
        <v>0</v>
      </c>
      <c r="K239" s="150">
        <f t="shared" si="61"/>
        <v>0</v>
      </c>
      <c r="L239" s="150">
        <f t="shared" si="61"/>
        <v>0</v>
      </c>
      <c r="M239" s="150">
        <f t="shared" si="61"/>
        <v>0</v>
      </c>
      <c r="N239" s="510">
        <f t="shared" si="61"/>
        <v>0</v>
      </c>
      <c r="O239" s="150">
        <f t="shared" si="61"/>
        <v>0</v>
      </c>
      <c r="P239" s="150">
        <f t="shared" si="61"/>
        <v>0</v>
      </c>
      <c r="Q239" s="150">
        <f t="shared" si="61"/>
        <v>0</v>
      </c>
      <c r="R239" s="150">
        <f t="shared" si="61"/>
        <v>0</v>
      </c>
      <c r="S239" s="150">
        <f t="shared" si="61"/>
        <v>0</v>
      </c>
      <c r="T239" s="150">
        <f t="shared" si="61"/>
        <v>0</v>
      </c>
      <c r="U239" s="150">
        <f t="shared" si="61"/>
        <v>0</v>
      </c>
      <c r="V239" s="150">
        <f t="shared" si="61"/>
        <v>0</v>
      </c>
      <c r="W239" s="150">
        <f t="shared" si="61"/>
        <v>0</v>
      </c>
      <c r="X239" s="150">
        <f t="shared" si="61"/>
        <v>0</v>
      </c>
      <c r="Y239" s="150">
        <f t="shared" si="61"/>
        <v>0</v>
      </c>
      <c r="Z239" s="150">
        <f t="shared" si="61"/>
        <v>0</v>
      </c>
      <c r="AA239" s="903">
        <f t="shared" si="61"/>
        <v>0</v>
      </c>
      <c r="AB239" s="510">
        <f t="shared" si="61"/>
        <v>0</v>
      </c>
      <c r="AC239" s="150">
        <f t="shared" si="61"/>
        <v>0</v>
      </c>
      <c r="AD239" s="150">
        <f t="shared" si="61"/>
        <v>0</v>
      </c>
      <c r="AE239" s="150">
        <f t="shared" si="61"/>
        <v>0</v>
      </c>
      <c r="AF239" s="150">
        <f t="shared" si="61"/>
        <v>0</v>
      </c>
      <c r="AG239" s="150">
        <f t="shared" si="61"/>
        <v>0</v>
      </c>
      <c r="AH239" s="786">
        <f t="shared" si="58"/>
        <v>0</v>
      </c>
      <c r="AI239" s="1082"/>
      <c r="AJ239" s="490"/>
      <c r="AK239" s="509"/>
      <c r="AL239" s="765"/>
      <c r="AM239" s="769"/>
      <c r="AN239" s="396"/>
      <c r="AO239" s="397"/>
      <c r="AP239" s="37"/>
      <c r="AQ239" s="491"/>
      <c r="AR239" s="491"/>
      <c r="AS239" s="491"/>
      <c r="AT239" s="491"/>
      <c r="AU239" s="491"/>
      <c r="AV239" s="491"/>
      <c r="AW239" s="491"/>
      <c r="AX239" s="491"/>
      <c r="AY239" s="491"/>
      <c r="AZ239" s="491"/>
      <c r="BA239" s="491"/>
    </row>
    <row r="240" spans="1:53" ht="18.75" customHeight="1" x14ac:dyDescent="0.3">
      <c r="A240" s="742"/>
      <c r="B240" s="506"/>
      <c r="C240" s="482"/>
      <c r="D240" s="507" t="s">
        <v>242</v>
      </c>
      <c r="E240" s="150">
        <f t="shared" ref="E240:AG240" si="62">SUM(E216+E239)</f>
        <v>88126.2</v>
      </c>
      <c r="F240" s="150">
        <f t="shared" si="62"/>
        <v>104149.33</v>
      </c>
      <c r="G240" s="150">
        <f t="shared" si="62"/>
        <v>6305</v>
      </c>
      <c r="H240" s="150">
        <f t="shared" si="62"/>
        <v>0</v>
      </c>
      <c r="I240" s="150">
        <f t="shared" si="62"/>
        <v>0</v>
      </c>
      <c r="J240" s="150">
        <f t="shared" si="62"/>
        <v>2600</v>
      </c>
      <c r="K240" s="150">
        <f t="shared" si="62"/>
        <v>0</v>
      </c>
      <c r="L240" s="150">
        <f t="shared" si="62"/>
        <v>54590</v>
      </c>
      <c r="M240" s="150">
        <f t="shared" si="62"/>
        <v>330000</v>
      </c>
      <c r="N240" s="510">
        <f t="shared" si="62"/>
        <v>23600</v>
      </c>
      <c r="O240" s="150">
        <f t="shared" si="62"/>
        <v>55717</v>
      </c>
      <c r="P240" s="150">
        <f t="shared" si="62"/>
        <v>87210</v>
      </c>
      <c r="Q240" s="150">
        <f t="shared" si="62"/>
        <v>0</v>
      </c>
      <c r="R240" s="150">
        <f t="shared" si="62"/>
        <v>0</v>
      </c>
      <c r="S240" s="150">
        <f t="shared" si="62"/>
        <v>0</v>
      </c>
      <c r="T240" s="150">
        <f t="shared" si="62"/>
        <v>214000</v>
      </c>
      <c r="U240" s="150">
        <f t="shared" si="62"/>
        <v>0</v>
      </c>
      <c r="V240" s="150">
        <f t="shared" si="62"/>
        <v>98000</v>
      </c>
      <c r="W240" s="150">
        <f t="shared" si="62"/>
        <v>1657002</v>
      </c>
      <c r="X240" s="150">
        <f t="shared" si="62"/>
        <v>1620000</v>
      </c>
      <c r="Y240" s="150">
        <f t="shared" si="62"/>
        <v>0</v>
      </c>
      <c r="Z240" s="150">
        <f t="shared" si="62"/>
        <v>99296</v>
      </c>
      <c r="AA240" s="903">
        <f t="shared" si="62"/>
        <v>152876.25</v>
      </c>
      <c r="AB240" s="510">
        <f t="shared" si="62"/>
        <v>350000</v>
      </c>
      <c r="AC240" s="150">
        <f t="shared" si="62"/>
        <v>364200</v>
      </c>
      <c r="AD240" s="150">
        <f t="shared" si="62"/>
        <v>0</v>
      </c>
      <c r="AE240" s="150">
        <f t="shared" si="62"/>
        <v>515869</v>
      </c>
      <c r="AF240" s="150">
        <f t="shared" si="62"/>
        <v>0</v>
      </c>
      <c r="AG240" s="150">
        <f t="shared" si="62"/>
        <v>0</v>
      </c>
      <c r="AH240" s="786">
        <f t="shared" si="58"/>
        <v>5823540.7800000003</v>
      </c>
      <c r="AI240" s="1082"/>
      <c r="AJ240" s="490"/>
      <c r="AK240" s="509"/>
      <c r="AL240" s="765"/>
      <c r="AM240" s="769"/>
      <c r="AN240" s="396"/>
      <c r="AO240" s="397"/>
      <c r="AP240" s="37"/>
      <c r="AQ240" s="55"/>
      <c r="AR240" s="55"/>
      <c r="AS240" s="55"/>
      <c r="AT240" s="55"/>
      <c r="AU240" s="55"/>
      <c r="AV240" s="55"/>
      <c r="AW240" s="55"/>
      <c r="AX240" s="55"/>
      <c r="AY240" s="55"/>
      <c r="AZ240" s="55"/>
      <c r="BA240" s="55"/>
    </row>
    <row r="241" spans="1:53" ht="18.75" customHeight="1" x14ac:dyDescent="0.3">
      <c r="A241" s="743"/>
      <c r="B241" s="511"/>
      <c r="C241" s="484"/>
      <c r="D241" s="512" t="s">
        <v>243</v>
      </c>
      <c r="E241" s="153">
        <f t="shared" ref="E241:AG241" si="63">SUM(E217-E239)</f>
        <v>655373.80000000005</v>
      </c>
      <c r="F241" s="153">
        <f t="shared" si="63"/>
        <v>195850.66999999998</v>
      </c>
      <c r="G241" s="153">
        <f t="shared" si="63"/>
        <v>26095</v>
      </c>
      <c r="H241" s="153">
        <f t="shared" si="63"/>
        <v>0</v>
      </c>
      <c r="I241" s="153">
        <f t="shared" si="63"/>
        <v>0</v>
      </c>
      <c r="J241" s="153">
        <f t="shared" si="63"/>
        <v>-2600</v>
      </c>
      <c r="K241" s="153">
        <f t="shared" si="63"/>
        <v>0</v>
      </c>
      <c r="L241" s="153">
        <f t="shared" si="63"/>
        <v>93310</v>
      </c>
      <c r="M241" s="153">
        <f t="shared" si="63"/>
        <v>-376700</v>
      </c>
      <c r="N241" s="513">
        <f t="shared" si="63"/>
        <v>-23600</v>
      </c>
      <c r="O241" s="153">
        <f t="shared" si="63"/>
        <v>594283</v>
      </c>
      <c r="P241" s="153">
        <f t="shared" si="63"/>
        <v>79490</v>
      </c>
      <c r="Q241" s="153">
        <f t="shared" si="63"/>
        <v>1573400</v>
      </c>
      <c r="R241" s="153">
        <f t="shared" si="63"/>
        <v>0</v>
      </c>
      <c r="S241" s="153">
        <f t="shared" si="63"/>
        <v>0</v>
      </c>
      <c r="T241" s="153">
        <f t="shared" si="63"/>
        <v>100000</v>
      </c>
      <c r="U241" s="153">
        <f t="shared" si="63"/>
        <v>488945</v>
      </c>
      <c r="V241" s="153">
        <f t="shared" si="63"/>
        <v>76900</v>
      </c>
      <c r="W241" s="153">
        <f t="shared" si="63"/>
        <v>-363343</v>
      </c>
      <c r="X241" s="153">
        <f t="shared" si="63"/>
        <v>-15200</v>
      </c>
      <c r="Y241" s="153">
        <f t="shared" si="63"/>
        <v>289600</v>
      </c>
      <c r="Z241" s="153">
        <f t="shared" si="63"/>
        <v>100000</v>
      </c>
      <c r="AA241" s="904">
        <f t="shared" si="63"/>
        <v>107123.75</v>
      </c>
      <c r="AB241" s="513">
        <f t="shared" si="63"/>
        <v>-75200</v>
      </c>
      <c r="AC241" s="153">
        <f t="shared" si="63"/>
        <v>-166200</v>
      </c>
      <c r="AD241" s="153">
        <f t="shared" si="63"/>
        <v>0</v>
      </c>
      <c r="AE241" s="153">
        <f t="shared" si="63"/>
        <v>7984131</v>
      </c>
      <c r="AF241" s="153">
        <f t="shared" si="63"/>
        <v>716400</v>
      </c>
      <c r="AG241" s="153">
        <f t="shared" si="63"/>
        <v>1113800</v>
      </c>
      <c r="AH241" s="787">
        <f t="shared" si="58"/>
        <v>13171859.219999999</v>
      </c>
      <c r="AI241" s="1082"/>
      <c r="AJ241" s="490"/>
      <c r="AK241" s="509"/>
      <c r="AL241" s="765"/>
      <c r="AM241" s="769"/>
      <c r="AN241" s="396"/>
      <c r="AO241" s="397"/>
      <c r="AP241" s="37"/>
      <c r="AQ241" s="55"/>
      <c r="AR241" s="55"/>
      <c r="AS241" s="55"/>
      <c r="AT241" s="55"/>
      <c r="AU241" s="55"/>
      <c r="AV241" s="55"/>
      <c r="AW241" s="55"/>
      <c r="AX241" s="55"/>
      <c r="AY241" s="55"/>
      <c r="AZ241" s="55"/>
      <c r="BA241" s="55"/>
    </row>
    <row r="242" spans="1:53" ht="18.75" customHeight="1" x14ac:dyDescent="0.3">
      <c r="A242" s="1035" t="s">
        <v>244</v>
      </c>
      <c r="B242" s="171"/>
      <c r="C242" s="955"/>
      <c r="D242" s="41"/>
      <c r="E242" s="684"/>
      <c r="F242" s="684"/>
      <c r="G242" s="684"/>
      <c r="H242" s="684"/>
      <c r="I242" s="684"/>
      <c r="J242" s="966"/>
      <c r="K242" s="966"/>
      <c r="L242" s="966"/>
      <c r="M242" s="684"/>
      <c r="N242" s="37"/>
      <c r="O242" s="684"/>
      <c r="P242" s="37"/>
      <c r="Q242" s="684"/>
      <c r="R242" s="684"/>
      <c r="S242" s="684"/>
      <c r="T242" s="684"/>
      <c r="U242" s="37"/>
      <c r="V242" s="684"/>
      <c r="W242" s="37"/>
      <c r="X242" s="684"/>
      <c r="Y242" s="37"/>
      <c r="Z242" s="684"/>
      <c r="AA242" s="897"/>
      <c r="AB242" s="870"/>
      <c r="AC242" s="684"/>
      <c r="AD242" s="684"/>
      <c r="AE242" s="684"/>
      <c r="AF242" s="684"/>
      <c r="AG242" s="684"/>
      <c r="AH242" s="1036"/>
      <c r="AI242" s="937"/>
      <c r="AJ242" s="42"/>
      <c r="AK242" s="494"/>
      <c r="AL242" s="764"/>
      <c r="AM242" s="769"/>
      <c r="AN242" s="481"/>
      <c r="AO242" s="395"/>
      <c r="AP242" s="37"/>
      <c r="AQ242" s="37"/>
      <c r="AR242" s="37"/>
      <c r="AS242" s="476"/>
      <c r="AT242" s="476"/>
      <c r="AU242" s="476"/>
      <c r="AV242" s="476"/>
      <c r="AW242" s="476"/>
      <c r="AX242" s="476"/>
      <c r="AY242" s="476"/>
      <c r="AZ242" s="476"/>
      <c r="BA242" s="476"/>
    </row>
    <row r="243" spans="1:53" ht="18.75" x14ac:dyDescent="0.3">
      <c r="A243" s="957"/>
      <c r="B243" s="171"/>
      <c r="C243" s="955"/>
      <c r="D243" s="34"/>
      <c r="E243" s="684"/>
      <c r="F243" s="684"/>
      <c r="G243" s="684"/>
      <c r="H243" s="684"/>
      <c r="I243" s="684"/>
      <c r="J243" s="684"/>
      <c r="K243" s="684"/>
      <c r="L243" s="684"/>
      <c r="M243" s="684"/>
      <c r="N243" s="37"/>
      <c r="O243" s="684"/>
      <c r="P243" s="37"/>
      <c r="Q243" s="684"/>
      <c r="R243" s="684"/>
      <c r="S243" s="684"/>
      <c r="T243" s="684"/>
      <c r="U243" s="37"/>
      <c r="V243" s="684"/>
      <c r="W243" s="37"/>
      <c r="X243" s="684"/>
      <c r="Y243" s="37"/>
      <c r="Z243" s="684"/>
      <c r="AA243" s="897"/>
      <c r="AB243" s="870"/>
      <c r="AC243" s="684"/>
      <c r="AD243" s="684"/>
      <c r="AE243" s="684"/>
      <c r="AF243" s="684"/>
      <c r="AG243" s="684"/>
      <c r="AH243" s="807">
        <f t="shared" ref="AH243:AH265" si="64">SUM(E243:AG243)</f>
        <v>0</v>
      </c>
      <c r="AI243" s="937"/>
      <c r="AJ243" s="42"/>
      <c r="AK243" s="494"/>
      <c r="AL243" s="764"/>
      <c r="AM243" s="769">
        <f>AH243-AK243-AL243</f>
        <v>0</v>
      </c>
      <c r="AN243" s="881"/>
      <c r="AO243" s="882"/>
      <c r="AP243" s="870"/>
      <c r="AQ243" s="870"/>
      <c r="AR243" s="870"/>
      <c r="AS243" s="870"/>
      <c r="AT243" s="870"/>
      <c r="AU243" s="870"/>
      <c r="AV243" s="870"/>
      <c r="AW243" s="870"/>
      <c r="AX243" s="870"/>
      <c r="AY243" s="870"/>
      <c r="AZ243" s="870"/>
      <c r="BA243" s="870">
        <f>SUM(AO243:AZ243)</f>
        <v>0</v>
      </c>
    </row>
    <row r="244" spans="1:53" ht="18.75" x14ac:dyDescent="0.3">
      <c r="A244" s="957"/>
      <c r="B244" s="171"/>
      <c r="C244" s="955"/>
      <c r="D244" s="34"/>
      <c r="E244" s="684"/>
      <c r="F244" s="684"/>
      <c r="G244" s="684"/>
      <c r="H244" s="684"/>
      <c r="I244" s="684"/>
      <c r="J244" s="684"/>
      <c r="K244" s="684"/>
      <c r="L244" s="684"/>
      <c r="M244" s="684"/>
      <c r="N244" s="37"/>
      <c r="O244" s="684"/>
      <c r="P244" s="37"/>
      <c r="Q244" s="684"/>
      <c r="R244" s="684"/>
      <c r="S244" s="684"/>
      <c r="T244" s="684"/>
      <c r="U244" s="37"/>
      <c r="V244" s="684"/>
      <c r="W244" s="37"/>
      <c r="X244" s="684"/>
      <c r="Y244" s="37"/>
      <c r="Z244" s="684"/>
      <c r="AA244" s="897"/>
      <c r="AB244" s="870"/>
      <c r="AC244" s="684"/>
      <c r="AD244" s="684"/>
      <c r="AE244" s="684"/>
      <c r="AF244" s="684"/>
      <c r="AG244" s="684"/>
      <c r="AH244" s="807">
        <f t="shared" si="64"/>
        <v>0</v>
      </c>
      <c r="AI244" s="937"/>
      <c r="AJ244" s="42"/>
      <c r="AK244" s="494"/>
      <c r="AL244" s="764"/>
      <c r="AM244" s="769">
        <f t="shared" ref="AM244:AM262" si="65">AH244-AK244-AL244</f>
        <v>0</v>
      </c>
      <c r="AN244" s="881"/>
      <c r="AO244" s="882"/>
      <c r="AP244" s="870"/>
      <c r="AQ244" s="870"/>
      <c r="AR244" s="870"/>
      <c r="AS244" s="870"/>
      <c r="AT244" s="870"/>
      <c r="AU244" s="870"/>
      <c r="AV244" s="870"/>
      <c r="AW244" s="870"/>
      <c r="AX244" s="870"/>
      <c r="AY244" s="870"/>
      <c r="AZ244" s="870"/>
      <c r="BA244" s="870">
        <f t="shared" ref="BA244:BA262" si="66">SUM(AO244:AZ244)</f>
        <v>0</v>
      </c>
    </row>
    <row r="245" spans="1:53" ht="18.75" x14ac:dyDescent="0.3">
      <c r="A245" s="957"/>
      <c r="B245" s="171"/>
      <c r="C245" s="955"/>
      <c r="D245" s="34"/>
      <c r="E245" s="684"/>
      <c r="F245" s="684"/>
      <c r="G245" s="684"/>
      <c r="H245" s="684"/>
      <c r="I245" s="684"/>
      <c r="J245" s="684"/>
      <c r="K245" s="684"/>
      <c r="L245" s="684"/>
      <c r="M245" s="684"/>
      <c r="N245" s="37"/>
      <c r="O245" s="684"/>
      <c r="P245" s="37"/>
      <c r="Q245" s="684"/>
      <c r="R245" s="684"/>
      <c r="S245" s="684"/>
      <c r="T245" s="684"/>
      <c r="U245" s="37"/>
      <c r="V245" s="684"/>
      <c r="W245" s="37"/>
      <c r="X245" s="684"/>
      <c r="Y245" s="37"/>
      <c r="Z245" s="684"/>
      <c r="AA245" s="897"/>
      <c r="AB245" s="870"/>
      <c r="AC245" s="684"/>
      <c r="AD245" s="684"/>
      <c r="AE245" s="684"/>
      <c r="AF245" s="684"/>
      <c r="AG245" s="684"/>
      <c r="AH245" s="807">
        <f t="shared" si="64"/>
        <v>0</v>
      </c>
      <c r="AI245" s="937"/>
      <c r="AJ245" s="65"/>
      <c r="AK245" s="494"/>
      <c r="AL245" s="764"/>
      <c r="AM245" s="769">
        <f t="shared" si="65"/>
        <v>0</v>
      </c>
      <c r="AN245" s="881"/>
      <c r="AO245" s="882"/>
      <c r="AP245" s="870"/>
      <c r="AQ245" s="870"/>
      <c r="AR245" s="870"/>
      <c r="AS245" s="870"/>
      <c r="AT245" s="870"/>
      <c r="AU245" s="870"/>
      <c r="AV245" s="870"/>
      <c r="AW245" s="870"/>
      <c r="AX245" s="870"/>
      <c r="AY245" s="870"/>
      <c r="AZ245" s="870"/>
      <c r="BA245" s="870">
        <f t="shared" si="66"/>
        <v>0</v>
      </c>
    </row>
    <row r="246" spans="1:53" ht="18.75" x14ac:dyDescent="0.3">
      <c r="A246" s="957"/>
      <c r="B246" s="871"/>
      <c r="C246" s="840"/>
      <c r="D246" s="34"/>
      <c r="E246" s="684"/>
      <c r="F246" s="684"/>
      <c r="G246" s="684"/>
      <c r="H246" s="684"/>
      <c r="I246" s="684"/>
      <c r="J246" s="684"/>
      <c r="K246" s="684"/>
      <c r="L246" s="684"/>
      <c r="M246" s="684"/>
      <c r="N246" s="37"/>
      <c r="O246" s="684"/>
      <c r="P246" s="37"/>
      <c r="Q246" s="684"/>
      <c r="R246" s="684"/>
      <c r="S246" s="684"/>
      <c r="T246" s="684"/>
      <c r="U246" s="37"/>
      <c r="V246" s="684"/>
      <c r="W246" s="37"/>
      <c r="X246" s="684"/>
      <c r="Y246" s="37"/>
      <c r="Z246" s="684"/>
      <c r="AA246" s="897"/>
      <c r="AB246" s="870"/>
      <c r="AC246" s="684"/>
      <c r="AD246" s="684"/>
      <c r="AE246" s="684"/>
      <c r="AF246" s="684"/>
      <c r="AG246" s="684"/>
      <c r="AH246" s="807">
        <f t="shared" si="64"/>
        <v>0</v>
      </c>
      <c r="AI246" s="940"/>
      <c r="AJ246" s="874"/>
      <c r="AK246" s="875"/>
      <c r="AL246" s="764"/>
      <c r="AM246" s="769">
        <f t="shared" si="65"/>
        <v>0</v>
      </c>
      <c r="AN246" s="881"/>
      <c r="AO246" s="882"/>
      <c r="AP246" s="870"/>
      <c r="AQ246" s="870"/>
      <c r="AR246" s="870"/>
      <c r="AS246" s="870"/>
      <c r="AT246" s="870"/>
      <c r="AU246" s="870"/>
      <c r="AV246" s="870"/>
      <c r="AW246" s="870"/>
      <c r="AX246" s="870"/>
      <c r="AY246" s="870"/>
      <c r="AZ246" s="870"/>
      <c r="BA246" s="870">
        <f t="shared" si="66"/>
        <v>0</v>
      </c>
    </row>
    <row r="247" spans="1:53" ht="18.75" x14ac:dyDescent="0.3">
      <c r="A247" s="957"/>
      <c r="B247" s="871"/>
      <c r="C247" s="955"/>
      <c r="D247" s="34"/>
      <c r="E247" s="684"/>
      <c r="F247" s="684"/>
      <c r="G247" s="684"/>
      <c r="H247" s="684"/>
      <c r="I247" s="684"/>
      <c r="J247" s="684"/>
      <c r="K247" s="684"/>
      <c r="L247" s="684"/>
      <c r="M247" s="684"/>
      <c r="N247" s="37"/>
      <c r="O247" s="684"/>
      <c r="P247" s="37"/>
      <c r="Q247" s="684"/>
      <c r="R247" s="684"/>
      <c r="S247" s="684"/>
      <c r="T247" s="684"/>
      <c r="U247" s="37"/>
      <c r="V247" s="684"/>
      <c r="W247" s="37"/>
      <c r="X247" s="684"/>
      <c r="Y247" s="37"/>
      <c r="Z247" s="684"/>
      <c r="AA247" s="897"/>
      <c r="AB247" s="870"/>
      <c r="AC247" s="684"/>
      <c r="AD247" s="684"/>
      <c r="AE247" s="684"/>
      <c r="AF247" s="684"/>
      <c r="AG247" s="684"/>
      <c r="AH247" s="807">
        <f t="shared" si="64"/>
        <v>0</v>
      </c>
      <c r="AI247" s="940"/>
      <c r="AJ247" s="874"/>
      <c r="AK247" s="494"/>
      <c r="AL247" s="764"/>
      <c r="AM247" s="769">
        <f t="shared" si="65"/>
        <v>0</v>
      </c>
      <c r="AN247" s="881"/>
      <c r="AO247" s="882"/>
      <c r="AP247" s="870"/>
      <c r="AQ247" s="886"/>
      <c r="AR247" s="870"/>
      <c r="AS247" s="870"/>
      <c r="AT247" s="870"/>
      <c r="AU247" s="870"/>
      <c r="AV247" s="870"/>
      <c r="AW247" s="870"/>
      <c r="AX247" s="870"/>
      <c r="AY247" s="870"/>
      <c r="AZ247" s="870"/>
      <c r="BA247" s="870">
        <f t="shared" si="66"/>
        <v>0</v>
      </c>
    </row>
    <row r="248" spans="1:53" ht="18.75" x14ac:dyDescent="0.3">
      <c r="A248" s="957"/>
      <c r="B248" s="871"/>
      <c r="C248" s="955"/>
      <c r="D248" s="34"/>
      <c r="E248" s="684"/>
      <c r="F248" s="684"/>
      <c r="G248" s="684"/>
      <c r="H248" s="684"/>
      <c r="I248" s="684"/>
      <c r="J248" s="684"/>
      <c r="K248" s="684"/>
      <c r="L248" s="684"/>
      <c r="M248" s="684"/>
      <c r="N248" s="37"/>
      <c r="O248" s="684"/>
      <c r="P248" s="37"/>
      <c r="Q248" s="684"/>
      <c r="R248" s="684"/>
      <c r="S248" s="684"/>
      <c r="T248" s="684"/>
      <c r="U248" s="37"/>
      <c r="V248" s="684"/>
      <c r="W248" s="37"/>
      <c r="X248" s="684"/>
      <c r="Y248" s="37"/>
      <c r="Z248" s="684"/>
      <c r="AA248" s="897"/>
      <c r="AB248" s="870"/>
      <c r="AC248" s="684"/>
      <c r="AD248" s="684"/>
      <c r="AE248" s="684"/>
      <c r="AF248" s="684"/>
      <c r="AG248" s="684"/>
      <c r="AH248" s="807">
        <f t="shared" si="64"/>
        <v>0</v>
      </c>
      <c r="AI248" s="940"/>
      <c r="AJ248" s="874"/>
      <c r="AK248" s="494"/>
      <c r="AL248" s="764"/>
      <c r="AM248" s="769">
        <f t="shared" si="65"/>
        <v>0</v>
      </c>
      <c r="AN248" s="881"/>
      <c r="AO248" s="882"/>
      <c r="AP248" s="870"/>
      <c r="AQ248" s="870"/>
      <c r="AR248" s="870"/>
      <c r="AS248" s="870"/>
      <c r="AT248" s="870"/>
      <c r="AU248" s="870"/>
      <c r="AV248" s="870"/>
      <c r="AW248" s="870"/>
      <c r="AX248" s="870"/>
      <c r="AY248" s="870"/>
      <c r="AZ248" s="870"/>
      <c r="BA248" s="870">
        <f t="shared" si="66"/>
        <v>0</v>
      </c>
    </row>
    <row r="249" spans="1:53" ht="18.75" x14ac:dyDescent="0.3">
      <c r="A249" s="957"/>
      <c r="B249" s="871"/>
      <c r="C249" s="955"/>
      <c r="D249" s="34"/>
      <c r="E249" s="684"/>
      <c r="F249" s="684"/>
      <c r="G249" s="684"/>
      <c r="H249" s="684"/>
      <c r="I249" s="684"/>
      <c r="J249" s="684"/>
      <c r="K249" s="684"/>
      <c r="L249" s="684"/>
      <c r="M249" s="684"/>
      <c r="N249" s="37"/>
      <c r="O249" s="684"/>
      <c r="P249" s="37"/>
      <c r="Q249" s="684"/>
      <c r="R249" s="684"/>
      <c r="S249" s="684"/>
      <c r="T249" s="684"/>
      <c r="U249" s="37"/>
      <c r="V249" s="684"/>
      <c r="W249" s="37"/>
      <c r="X249" s="684"/>
      <c r="Y249" s="37"/>
      <c r="Z249" s="684"/>
      <c r="AA249" s="897"/>
      <c r="AB249" s="870"/>
      <c r="AC249" s="684"/>
      <c r="AD249" s="684"/>
      <c r="AE249" s="684"/>
      <c r="AF249" s="684"/>
      <c r="AG249" s="684"/>
      <c r="AH249" s="807">
        <f t="shared" si="64"/>
        <v>0</v>
      </c>
      <c r="AI249" s="937"/>
      <c r="AJ249" s="876"/>
      <c r="AK249" s="494"/>
      <c r="AL249" s="764"/>
      <c r="AM249" s="769">
        <f t="shared" si="65"/>
        <v>0</v>
      </c>
      <c r="AN249" s="881"/>
      <c r="AO249" s="882"/>
      <c r="AP249" s="870"/>
      <c r="AQ249" s="870"/>
      <c r="AR249" s="870"/>
      <c r="AS249" s="870"/>
      <c r="AT249" s="870"/>
      <c r="AU249" s="870"/>
      <c r="AV249" s="870"/>
      <c r="AW249" s="870"/>
      <c r="AX249" s="870"/>
      <c r="AY249" s="870"/>
      <c r="AZ249" s="870"/>
      <c r="BA249" s="870">
        <f t="shared" si="66"/>
        <v>0</v>
      </c>
    </row>
    <row r="250" spans="1:53" ht="18.75" x14ac:dyDescent="0.3">
      <c r="A250" s="957"/>
      <c r="B250" s="871"/>
      <c r="C250" s="955"/>
      <c r="D250" s="34"/>
      <c r="E250" s="684"/>
      <c r="F250" s="684"/>
      <c r="G250" s="684"/>
      <c r="H250" s="684"/>
      <c r="I250" s="684"/>
      <c r="J250" s="684"/>
      <c r="K250" s="684"/>
      <c r="L250" s="684"/>
      <c r="M250" s="684"/>
      <c r="N250" s="37"/>
      <c r="O250" s="684"/>
      <c r="P250" s="37"/>
      <c r="Q250" s="684"/>
      <c r="R250" s="684"/>
      <c r="S250" s="684"/>
      <c r="T250" s="684"/>
      <c r="U250" s="37"/>
      <c r="V250" s="684"/>
      <c r="W250" s="37"/>
      <c r="X250" s="684"/>
      <c r="Y250" s="37"/>
      <c r="Z250" s="684"/>
      <c r="AA250" s="897"/>
      <c r="AB250" s="870"/>
      <c r="AC250" s="684"/>
      <c r="AD250" s="684"/>
      <c r="AE250" s="684"/>
      <c r="AF250" s="684"/>
      <c r="AG250" s="684"/>
      <c r="AH250" s="1036">
        <f t="shared" si="64"/>
        <v>0</v>
      </c>
      <c r="AI250" s="940"/>
      <c r="AJ250" s="874"/>
      <c r="AK250" s="494"/>
      <c r="AL250" s="764"/>
      <c r="AM250" s="769">
        <f t="shared" si="65"/>
        <v>0</v>
      </c>
      <c r="AN250" s="881"/>
      <c r="AO250" s="882"/>
      <c r="AP250" s="870"/>
      <c r="AQ250" s="870"/>
      <c r="AR250" s="870"/>
      <c r="AS250" s="870"/>
      <c r="AT250" s="870"/>
      <c r="AU250" s="870"/>
      <c r="AV250" s="870"/>
      <c r="AW250" s="870"/>
      <c r="AX250" s="870"/>
      <c r="AY250" s="870"/>
      <c r="AZ250" s="870"/>
      <c r="BA250" s="870">
        <f t="shared" si="66"/>
        <v>0</v>
      </c>
    </row>
    <row r="251" spans="1:53" ht="18.75" x14ac:dyDescent="0.3">
      <c r="A251" s="957"/>
      <c r="B251" s="871"/>
      <c r="C251" s="955"/>
      <c r="D251" s="34"/>
      <c r="E251" s="684"/>
      <c r="F251" s="684"/>
      <c r="G251" s="684"/>
      <c r="H251" s="684"/>
      <c r="I251" s="684"/>
      <c r="J251" s="684"/>
      <c r="K251" s="684"/>
      <c r="L251" s="684"/>
      <c r="M251" s="684"/>
      <c r="N251" s="37"/>
      <c r="O251" s="684"/>
      <c r="P251" s="37"/>
      <c r="Q251" s="684"/>
      <c r="R251" s="684"/>
      <c r="S251" s="684"/>
      <c r="T251" s="684"/>
      <c r="U251" s="37"/>
      <c r="V251" s="684"/>
      <c r="W251" s="37"/>
      <c r="X251" s="684"/>
      <c r="Y251" s="37"/>
      <c r="Z251" s="684"/>
      <c r="AA251" s="897"/>
      <c r="AB251" s="870"/>
      <c r="AC251" s="684"/>
      <c r="AD251" s="684"/>
      <c r="AE251" s="684"/>
      <c r="AF251" s="684"/>
      <c r="AG251" s="684"/>
      <c r="AH251" s="807">
        <f t="shared" si="64"/>
        <v>0</v>
      </c>
      <c r="AI251" s="940"/>
      <c r="AJ251" s="874"/>
      <c r="AK251" s="494"/>
      <c r="AL251" s="764"/>
      <c r="AM251" s="769">
        <f t="shared" si="65"/>
        <v>0</v>
      </c>
      <c r="AN251" s="881"/>
      <c r="AO251" s="886"/>
      <c r="AP251" s="886"/>
      <c r="AQ251" s="870"/>
      <c r="AR251" s="870"/>
      <c r="AS251" s="870"/>
      <c r="AT251" s="870"/>
      <c r="AU251" s="870"/>
      <c r="AV251" s="870"/>
      <c r="AW251" s="870"/>
      <c r="AX251" s="870"/>
      <c r="AY251" s="870"/>
      <c r="AZ251" s="870"/>
      <c r="BA251" s="870">
        <f t="shared" si="66"/>
        <v>0</v>
      </c>
    </row>
    <row r="252" spans="1:53" ht="18.75" x14ac:dyDescent="0.3">
      <c r="A252" s="1079"/>
      <c r="B252" s="171"/>
      <c r="C252" s="955"/>
      <c r="D252" s="34"/>
      <c r="E252" s="684"/>
      <c r="F252" s="684"/>
      <c r="G252" s="684"/>
      <c r="H252" s="684"/>
      <c r="I252" s="684"/>
      <c r="J252" s="684"/>
      <c r="K252" s="684"/>
      <c r="L252" s="684"/>
      <c r="M252" s="684"/>
      <c r="N252" s="37"/>
      <c r="O252" s="684"/>
      <c r="P252" s="37"/>
      <c r="Q252" s="684"/>
      <c r="R252" s="684"/>
      <c r="S252" s="684"/>
      <c r="T252" s="684"/>
      <c r="U252" s="37"/>
      <c r="V252" s="684"/>
      <c r="W252" s="37"/>
      <c r="X252" s="684"/>
      <c r="Y252" s="37"/>
      <c r="Z252" s="684"/>
      <c r="AA252" s="897"/>
      <c r="AB252" s="870"/>
      <c r="AC252" s="684"/>
      <c r="AD252" s="684"/>
      <c r="AE252" s="684"/>
      <c r="AF252" s="684"/>
      <c r="AG252" s="684"/>
      <c r="AH252" s="807">
        <f t="shared" si="64"/>
        <v>0</v>
      </c>
      <c r="AI252" s="937"/>
      <c r="AJ252" s="42"/>
      <c r="AK252" s="494"/>
      <c r="AL252" s="764"/>
      <c r="AM252" s="769">
        <f t="shared" si="65"/>
        <v>0</v>
      </c>
      <c r="AN252" s="881"/>
      <c r="AO252" s="882"/>
      <c r="AP252" s="883"/>
      <c r="AQ252" s="883"/>
      <c r="AR252" s="883"/>
      <c r="AS252" s="883"/>
      <c r="AT252" s="883"/>
      <c r="AU252" s="883"/>
      <c r="AV252" s="883"/>
      <c r="AW252" s="883"/>
      <c r="AX252" s="883"/>
      <c r="AY252" s="883"/>
      <c r="AZ252" s="883"/>
      <c r="BA252" s="870">
        <f t="shared" si="66"/>
        <v>0</v>
      </c>
    </row>
    <row r="253" spans="1:53" ht="18.75" x14ac:dyDescent="0.3">
      <c r="A253" s="1079"/>
      <c r="B253" s="171"/>
      <c r="C253" s="955"/>
      <c r="D253" s="41"/>
      <c r="E253" s="684"/>
      <c r="F253" s="684"/>
      <c r="G253" s="684"/>
      <c r="H253" s="684"/>
      <c r="I253" s="684"/>
      <c r="J253" s="684"/>
      <c r="K253" s="684"/>
      <c r="L253" s="684"/>
      <c r="M253" s="684"/>
      <c r="N253" s="37"/>
      <c r="O253" s="684"/>
      <c r="P253" s="37"/>
      <c r="Q253" s="684"/>
      <c r="R253" s="684"/>
      <c r="S253" s="684"/>
      <c r="T253" s="684"/>
      <c r="U253" s="37"/>
      <c r="V253" s="684"/>
      <c r="W253" s="37"/>
      <c r="X253" s="684"/>
      <c r="Y253" s="37"/>
      <c r="Z253" s="684"/>
      <c r="AA253" s="897"/>
      <c r="AB253" s="870"/>
      <c r="AC253" s="684"/>
      <c r="AD253" s="684"/>
      <c r="AE253" s="684"/>
      <c r="AF253" s="684"/>
      <c r="AG253" s="684"/>
      <c r="AH253" s="807">
        <f t="shared" si="64"/>
        <v>0</v>
      </c>
      <c r="AI253" s="937"/>
      <c r="AJ253" s="42"/>
      <c r="AK253" s="494"/>
      <c r="AL253" s="764"/>
      <c r="AM253" s="769">
        <f t="shared" si="65"/>
        <v>0</v>
      </c>
      <c r="AN253" s="881"/>
      <c r="AO253" s="882"/>
      <c r="AP253" s="883"/>
      <c r="AQ253" s="883"/>
      <c r="AR253" s="883"/>
      <c r="AS253" s="883"/>
      <c r="AT253" s="883"/>
      <c r="AU253" s="883"/>
      <c r="AV253" s="883"/>
      <c r="AW253" s="883"/>
      <c r="AX253" s="883"/>
      <c r="AY253" s="883"/>
      <c r="AZ253" s="883"/>
      <c r="BA253" s="870">
        <f t="shared" si="66"/>
        <v>0</v>
      </c>
    </row>
    <row r="254" spans="1:53" ht="18.75" x14ac:dyDescent="0.3">
      <c r="A254" s="1079"/>
      <c r="B254" s="171"/>
      <c r="C254" s="955"/>
      <c r="D254" s="34"/>
      <c r="E254" s="684"/>
      <c r="F254" s="684"/>
      <c r="G254" s="684"/>
      <c r="H254" s="684"/>
      <c r="I254" s="684"/>
      <c r="J254" s="684"/>
      <c r="K254" s="684"/>
      <c r="L254" s="684"/>
      <c r="M254" s="684"/>
      <c r="N254" s="37"/>
      <c r="O254" s="684"/>
      <c r="P254" s="37"/>
      <c r="Q254" s="684"/>
      <c r="R254" s="684"/>
      <c r="S254" s="684"/>
      <c r="T254" s="684"/>
      <c r="U254" s="37"/>
      <c r="V254" s="684"/>
      <c r="W254" s="37"/>
      <c r="X254" s="684"/>
      <c r="Y254" s="37"/>
      <c r="Z254" s="684"/>
      <c r="AA254" s="897"/>
      <c r="AB254" s="870"/>
      <c r="AC254" s="684"/>
      <c r="AD254" s="684"/>
      <c r="AE254" s="684"/>
      <c r="AF254" s="684"/>
      <c r="AG254" s="684"/>
      <c r="AH254" s="807">
        <f t="shared" si="64"/>
        <v>0</v>
      </c>
      <c r="AI254" s="937"/>
      <c r="AJ254" s="42"/>
      <c r="AK254" s="494"/>
      <c r="AL254" s="764"/>
      <c r="AM254" s="769">
        <f t="shared" si="65"/>
        <v>0</v>
      </c>
      <c r="AN254" s="881"/>
      <c r="AO254" s="882"/>
      <c r="AP254" s="883"/>
      <c r="AQ254" s="883"/>
      <c r="AR254" s="883"/>
      <c r="AS254" s="883"/>
      <c r="AT254" s="883"/>
      <c r="AU254" s="883"/>
      <c r="AV254" s="883"/>
      <c r="AW254" s="883"/>
      <c r="AX254" s="883"/>
      <c r="AY254" s="883"/>
      <c r="AZ254" s="883"/>
      <c r="BA254" s="870">
        <f t="shared" si="66"/>
        <v>0</v>
      </c>
    </row>
    <row r="255" spans="1:53" ht="18.75" x14ac:dyDescent="0.3">
      <c r="A255" s="1079"/>
      <c r="B255" s="171"/>
      <c r="C255" s="955"/>
      <c r="D255" s="34"/>
      <c r="E255" s="684"/>
      <c r="F255" s="684"/>
      <c r="G255" s="684"/>
      <c r="H255" s="684"/>
      <c r="I255" s="684"/>
      <c r="J255" s="684"/>
      <c r="K255" s="684"/>
      <c r="L255" s="684"/>
      <c r="M255" s="684"/>
      <c r="N255" s="37"/>
      <c r="O255" s="684"/>
      <c r="P255" s="37"/>
      <c r="Q255" s="684"/>
      <c r="R255" s="684"/>
      <c r="S255" s="684"/>
      <c r="T255" s="684"/>
      <c r="U255" s="37"/>
      <c r="V255" s="684"/>
      <c r="W255" s="37"/>
      <c r="X255" s="684"/>
      <c r="Y255" s="37"/>
      <c r="Z255" s="684"/>
      <c r="AA255" s="897"/>
      <c r="AB255" s="870"/>
      <c r="AC255" s="684"/>
      <c r="AD255" s="684"/>
      <c r="AE255" s="684"/>
      <c r="AF255" s="684"/>
      <c r="AG255" s="684"/>
      <c r="AH255" s="807">
        <f t="shared" si="64"/>
        <v>0</v>
      </c>
      <c r="AI255" s="937"/>
      <c r="AJ255" s="42"/>
      <c r="AK255" s="494"/>
      <c r="AL255" s="764"/>
      <c r="AM255" s="769">
        <f t="shared" si="65"/>
        <v>0</v>
      </c>
      <c r="AN255" s="881"/>
      <c r="AO255" s="882"/>
      <c r="AP255" s="883"/>
      <c r="AQ255" s="883"/>
      <c r="AR255" s="883"/>
      <c r="AS255" s="883"/>
      <c r="AT255" s="883"/>
      <c r="AU255" s="883"/>
      <c r="AV255" s="883"/>
      <c r="AW255" s="883"/>
      <c r="AX255" s="883"/>
      <c r="AY255" s="883"/>
      <c r="AZ255" s="883"/>
      <c r="BA255" s="870">
        <f t="shared" si="66"/>
        <v>0</v>
      </c>
    </row>
    <row r="256" spans="1:53" ht="18.75" x14ac:dyDescent="0.3">
      <c r="A256" s="1079"/>
      <c r="B256" s="171"/>
      <c r="C256" s="955"/>
      <c r="D256" s="34"/>
      <c r="E256" s="684"/>
      <c r="F256" s="684"/>
      <c r="G256" s="684"/>
      <c r="H256" s="684"/>
      <c r="I256" s="684"/>
      <c r="J256" s="684"/>
      <c r="K256" s="684"/>
      <c r="L256" s="684"/>
      <c r="M256" s="684"/>
      <c r="N256" s="37"/>
      <c r="O256" s="684"/>
      <c r="P256" s="37"/>
      <c r="Q256" s="684"/>
      <c r="R256" s="684"/>
      <c r="S256" s="684"/>
      <c r="T256" s="684"/>
      <c r="U256" s="37"/>
      <c r="V256" s="684"/>
      <c r="W256" s="37"/>
      <c r="X256" s="684"/>
      <c r="Y256" s="37"/>
      <c r="Z256" s="684"/>
      <c r="AA256" s="897"/>
      <c r="AB256" s="870"/>
      <c r="AC256" s="684"/>
      <c r="AD256" s="684"/>
      <c r="AE256" s="684"/>
      <c r="AF256" s="684"/>
      <c r="AG256" s="684"/>
      <c r="AH256" s="807">
        <f t="shared" si="64"/>
        <v>0</v>
      </c>
      <c r="AI256" s="937"/>
      <c r="AJ256" s="42"/>
      <c r="AK256" s="494"/>
      <c r="AL256" s="764"/>
      <c r="AM256" s="769">
        <f t="shared" si="65"/>
        <v>0</v>
      </c>
      <c r="AN256" s="881"/>
      <c r="AO256" s="882"/>
      <c r="AP256" s="883"/>
      <c r="AQ256" s="883"/>
      <c r="AR256" s="883"/>
      <c r="AS256" s="883"/>
      <c r="AT256" s="883"/>
      <c r="AU256" s="883"/>
      <c r="AV256" s="883"/>
      <c r="AW256" s="883"/>
      <c r="AX256" s="883"/>
      <c r="AY256" s="883"/>
      <c r="AZ256" s="883"/>
      <c r="BA256" s="870">
        <f t="shared" si="66"/>
        <v>0</v>
      </c>
    </row>
    <row r="257" spans="1:53" ht="18.75" x14ac:dyDescent="0.3">
      <c r="A257" s="1079"/>
      <c r="B257" s="171"/>
      <c r="C257" s="955"/>
      <c r="D257" s="140"/>
      <c r="E257" s="684"/>
      <c r="F257" s="684"/>
      <c r="G257" s="684"/>
      <c r="H257" s="684"/>
      <c r="I257" s="1078"/>
      <c r="J257" s="684"/>
      <c r="K257" s="684"/>
      <c r="L257" s="684"/>
      <c r="M257" s="684"/>
      <c r="N257" s="37"/>
      <c r="O257" s="684"/>
      <c r="P257" s="37"/>
      <c r="Q257" s="684"/>
      <c r="R257" s="684"/>
      <c r="S257" s="684"/>
      <c r="T257" s="684"/>
      <c r="U257" s="37"/>
      <c r="V257" s="684"/>
      <c r="W257" s="37"/>
      <c r="X257" s="684"/>
      <c r="Y257" s="37"/>
      <c r="Z257" s="684"/>
      <c r="AA257" s="897"/>
      <c r="AB257" s="870"/>
      <c r="AC257" s="684"/>
      <c r="AD257" s="684"/>
      <c r="AE257" s="684"/>
      <c r="AF257" s="684"/>
      <c r="AG257" s="684"/>
      <c r="AH257" s="807">
        <f t="shared" si="64"/>
        <v>0</v>
      </c>
      <c r="AI257" s="937"/>
      <c r="AJ257" s="42"/>
      <c r="AK257" s="494"/>
      <c r="AL257" s="764"/>
      <c r="AM257" s="769">
        <f t="shared" si="65"/>
        <v>0</v>
      </c>
      <c r="AN257" s="881"/>
      <c r="AO257" s="882"/>
      <c r="AP257" s="883"/>
      <c r="AQ257" s="883"/>
      <c r="AR257" s="883"/>
      <c r="AS257" s="883"/>
      <c r="AT257" s="883"/>
      <c r="AU257" s="883"/>
      <c r="AV257" s="883"/>
      <c r="AW257" s="883"/>
      <c r="AX257" s="883"/>
      <c r="AY257" s="883"/>
      <c r="AZ257" s="883"/>
      <c r="BA257" s="870">
        <f t="shared" si="66"/>
        <v>0</v>
      </c>
    </row>
    <row r="258" spans="1:53" ht="18.75" x14ac:dyDescent="0.3">
      <c r="A258" s="1079"/>
      <c r="B258" s="171"/>
      <c r="C258" s="955"/>
      <c r="D258" s="140"/>
      <c r="E258" s="684"/>
      <c r="F258" s="684"/>
      <c r="G258" s="684"/>
      <c r="H258" s="684"/>
      <c r="I258" s="684"/>
      <c r="J258" s="684"/>
      <c r="K258" s="684"/>
      <c r="L258" s="684"/>
      <c r="M258" s="684"/>
      <c r="N258" s="37"/>
      <c r="O258" s="684"/>
      <c r="P258" s="55"/>
      <c r="Q258" s="684"/>
      <c r="R258" s="684"/>
      <c r="S258" s="684"/>
      <c r="T258" s="684"/>
      <c r="U258" s="37"/>
      <c r="V258" s="684"/>
      <c r="W258" s="37"/>
      <c r="X258" s="684"/>
      <c r="Y258" s="37"/>
      <c r="Z258" s="684"/>
      <c r="AA258" s="897"/>
      <c r="AB258" s="870"/>
      <c r="AC258" s="684"/>
      <c r="AD258" s="684"/>
      <c r="AE258" s="684"/>
      <c r="AF258" s="684"/>
      <c r="AG258" s="684"/>
      <c r="AH258" s="807">
        <f t="shared" si="64"/>
        <v>0</v>
      </c>
      <c r="AI258" s="937"/>
      <c r="AJ258" s="42"/>
      <c r="AK258" s="494"/>
      <c r="AL258" s="764"/>
      <c r="AM258" s="769">
        <f t="shared" si="65"/>
        <v>0</v>
      </c>
      <c r="AN258" s="881"/>
      <c r="AO258" s="882"/>
      <c r="AP258" s="883"/>
      <c r="AQ258" s="883"/>
      <c r="AR258" s="883"/>
      <c r="AS258" s="883"/>
      <c r="AT258" s="883"/>
      <c r="AU258" s="883"/>
      <c r="AV258" s="883"/>
      <c r="AW258" s="883"/>
      <c r="AX258" s="883"/>
      <c r="AY258" s="883"/>
      <c r="AZ258" s="883"/>
      <c r="BA258" s="870">
        <f t="shared" si="66"/>
        <v>0</v>
      </c>
    </row>
    <row r="259" spans="1:53" ht="18.75" x14ac:dyDescent="0.3">
      <c r="A259" s="1079"/>
      <c r="B259" s="171"/>
      <c r="C259" s="955"/>
      <c r="D259" s="140"/>
      <c r="E259" s="684"/>
      <c r="F259" s="684"/>
      <c r="G259" s="684"/>
      <c r="H259" s="684"/>
      <c r="I259" s="684"/>
      <c r="J259" s="684"/>
      <c r="K259" s="684"/>
      <c r="L259" s="1078"/>
      <c r="M259" s="684"/>
      <c r="N259" s="37"/>
      <c r="O259" s="684"/>
      <c r="P259" s="37"/>
      <c r="Q259" s="684"/>
      <c r="R259" s="684"/>
      <c r="S259" s="684"/>
      <c r="T259" s="684"/>
      <c r="U259" s="37"/>
      <c r="V259" s="684"/>
      <c r="W259" s="37"/>
      <c r="X259" s="684"/>
      <c r="Y259" s="37"/>
      <c r="Z259" s="684"/>
      <c r="AA259" s="897"/>
      <c r="AB259" s="870"/>
      <c r="AC259" s="684"/>
      <c r="AD259" s="684"/>
      <c r="AE259" s="684"/>
      <c r="AF259" s="684"/>
      <c r="AG259" s="684"/>
      <c r="AH259" s="807">
        <f t="shared" si="64"/>
        <v>0</v>
      </c>
      <c r="AI259" s="937"/>
      <c r="AJ259" s="42"/>
      <c r="AK259" s="494"/>
      <c r="AL259" s="764"/>
      <c r="AM259" s="769">
        <f t="shared" si="65"/>
        <v>0</v>
      </c>
      <c r="AN259" s="881"/>
      <c r="AO259" s="882"/>
      <c r="AP259" s="883"/>
      <c r="AQ259" s="883"/>
      <c r="AR259" s="883"/>
      <c r="AS259" s="883"/>
      <c r="AT259" s="883"/>
      <c r="AU259" s="883"/>
      <c r="AV259" s="883"/>
      <c r="AW259" s="883"/>
      <c r="AX259" s="883"/>
      <c r="AY259" s="883"/>
      <c r="AZ259" s="883"/>
      <c r="BA259" s="870">
        <f t="shared" si="66"/>
        <v>0</v>
      </c>
    </row>
    <row r="260" spans="1:53" ht="18.75" x14ac:dyDescent="0.3">
      <c r="A260" s="1079"/>
      <c r="B260" s="171"/>
      <c r="C260" s="955"/>
      <c r="D260" s="140"/>
      <c r="E260" s="684"/>
      <c r="F260" s="684"/>
      <c r="G260" s="684"/>
      <c r="H260" s="684"/>
      <c r="I260" s="684"/>
      <c r="J260" s="684"/>
      <c r="K260" s="684"/>
      <c r="L260" s="684"/>
      <c r="M260" s="1080"/>
      <c r="N260" s="37"/>
      <c r="O260" s="684"/>
      <c r="P260" s="37"/>
      <c r="Q260" s="684"/>
      <c r="R260" s="684"/>
      <c r="S260" s="684"/>
      <c r="T260" s="684"/>
      <c r="U260" s="37"/>
      <c r="V260" s="684"/>
      <c r="W260" s="37"/>
      <c r="X260" s="684"/>
      <c r="Y260" s="37"/>
      <c r="Z260" s="684"/>
      <c r="AA260" s="897"/>
      <c r="AB260" s="870"/>
      <c r="AC260" s="684"/>
      <c r="AD260" s="684"/>
      <c r="AE260" s="684"/>
      <c r="AF260" s="684"/>
      <c r="AG260" s="684"/>
      <c r="AH260" s="807">
        <f t="shared" si="64"/>
        <v>0</v>
      </c>
      <c r="AI260" s="937"/>
      <c r="AJ260" s="42"/>
      <c r="AK260" s="494"/>
      <c r="AL260" s="764"/>
      <c r="AM260" s="769">
        <f t="shared" si="65"/>
        <v>0</v>
      </c>
      <c r="AN260" s="881"/>
      <c r="AO260" s="882"/>
      <c r="AP260" s="883"/>
      <c r="AQ260" s="883"/>
      <c r="AR260" s="883"/>
      <c r="AS260" s="883"/>
      <c r="AT260" s="883"/>
      <c r="AU260" s="883"/>
      <c r="AV260" s="883"/>
      <c r="AW260" s="883"/>
      <c r="AX260" s="883"/>
      <c r="AY260" s="883"/>
      <c r="AZ260" s="883"/>
      <c r="BA260" s="870">
        <f t="shared" si="66"/>
        <v>0</v>
      </c>
    </row>
    <row r="261" spans="1:53" ht="18.75" x14ac:dyDescent="0.3">
      <c r="A261" s="1079"/>
      <c r="B261" s="171"/>
      <c r="C261" s="955"/>
      <c r="D261" s="140"/>
      <c r="E261" s="684"/>
      <c r="F261" s="684"/>
      <c r="G261" s="684"/>
      <c r="H261" s="684"/>
      <c r="I261" s="684"/>
      <c r="J261" s="684"/>
      <c r="K261" s="684"/>
      <c r="L261" s="1080"/>
      <c r="M261" s="684"/>
      <c r="N261" s="37"/>
      <c r="O261" s="684"/>
      <c r="P261" s="37"/>
      <c r="Q261" s="684"/>
      <c r="R261" s="684"/>
      <c r="S261" s="684"/>
      <c r="T261" s="684"/>
      <c r="U261" s="37"/>
      <c r="V261" s="684"/>
      <c r="W261" s="37"/>
      <c r="X261" s="684"/>
      <c r="Y261" s="37"/>
      <c r="Z261" s="684"/>
      <c r="AA261" s="897"/>
      <c r="AB261" s="870"/>
      <c r="AC261" s="684"/>
      <c r="AD261" s="684"/>
      <c r="AE261" s="684"/>
      <c r="AF261" s="684"/>
      <c r="AG261" s="684"/>
      <c r="AH261" s="807">
        <f t="shared" si="64"/>
        <v>0</v>
      </c>
      <c r="AI261" s="937"/>
      <c r="AJ261" s="42"/>
      <c r="AK261" s="494"/>
      <c r="AL261" s="764"/>
      <c r="AM261" s="769">
        <f t="shared" si="65"/>
        <v>0</v>
      </c>
      <c r="AN261" s="881"/>
      <c r="AO261" s="882"/>
      <c r="AP261" s="883"/>
      <c r="AQ261" s="883"/>
      <c r="AR261" s="883"/>
      <c r="AS261" s="883"/>
      <c r="AT261" s="883"/>
      <c r="AU261" s="883"/>
      <c r="AV261" s="883"/>
      <c r="AW261" s="883"/>
      <c r="AX261" s="883"/>
      <c r="AY261" s="883"/>
      <c r="AZ261" s="883"/>
      <c r="BA261" s="870">
        <f t="shared" si="66"/>
        <v>0</v>
      </c>
    </row>
    <row r="262" spans="1:53" ht="18.75" x14ac:dyDescent="0.3">
      <c r="A262" s="1031"/>
      <c r="B262" s="1081"/>
      <c r="C262" s="1033"/>
      <c r="D262" s="1034"/>
      <c r="E262" s="916"/>
      <c r="F262" s="916"/>
      <c r="G262" s="916"/>
      <c r="H262" s="916"/>
      <c r="I262" s="916"/>
      <c r="J262" s="916"/>
      <c r="K262" s="916"/>
      <c r="L262" s="916"/>
      <c r="M262" s="916"/>
      <c r="N262" s="888"/>
      <c r="O262" s="916"/>
      <c r="P262" s="888"/>
      <c r="Q262" s="916"/>
      <c r="R262" s="916"/>
      <c r="S262" s="916"/>
      <c r="T262" s="916"/>
      <c r="U262" s="888"/>
      <c r="V262" s="916"/>
      <c r="W262" s="888"/>
      <c r="X262" s="916"/>
      <c r="Y262" s="888"/>
      <c r="Z262" s="916"/>
      <c r="AA262" s="898"/>
      <c r="AB262" s="888"/>
      <c r="AC262" s="916"/>
      <c r="AD262" s="916"/>
      <c r="AE262" s="916"/>
      <c r="AF262" s="916"/>
      <c r="AG262" s="916"/>
      <c r="AH262" s="1049">
        <f t="shared" si="64"/>
        <v>0</v>
      </c>
      <c r="AI262" s="937"/>
      <c r="AJ262" s="42"/>
      <c r="AK262" s="494"/>
      <c r="AL262" s="764"/>
      <c r="AM262" s="769">
        <f t="shared" si="65"/>
        <v>0</v>
      </c>
      <c r="AN262" s="881"/>
      <c r="AO262" s="882"/>
      <c r="AP262" s="870"/>
      <c r="AQ262" s="870"/>
      <c r="AR262" s="870"/>
      <c r="AS262" s="870"/>
      <c r="AT262" s="870"/>
      <c r="AU262" s="870"/>
      <c r="AV262" s="870"/>
      <c r="AW262" s="870"/>
      <c r="AX262" s="870"/>
      <c r="AY262" s="870"/>
      <c r="AZ262" s="870"/>
      <c r="BA262" s="870">
        <f t="shared" si="66"/>
        <v>0</v>
      </c>
    </row>
    <row r="263" spans="1:53" ht="18.75" customHeight="1" x14ac:dyDescent="0.3">
      <c r="A263" s="742"/>
      <c r="B263" s="506"/>
      <c r="C263" s="482"/>
      <c r="D263" s="507" t="s">
        <v>245</v>
      </c>
      <c r="E263" s="156">
        <f t="shared" ref="E263:AG263" si="67">SUM(E242:E262)</f>
        <v>0</v>
      </c>
      <c r="F263" s="156">
        <f t="shared" si="67"/>
        <v>0</v>
      </c>
      <c r="G263" s="156">
        <f t="shared" si="67"/>
        <v>0</v>
      </c>
      <c r="H263" s="156">
        <f t="shared" si="67"/>
        <v>0</v>
      </c>
      <c r="I263" s="156">
        <f t="shared" si="67"/>
        <v>0</v>
      </c>
      <c r="J263" s="156">
        <f t="shared" si="67"/>
        <v>0</v>
      </c>
      <c r="K263" s="156">
        <f t="shared" si="67"/>
        <v>0</v>
      </c>
      <c r="L263" s="156">
        <f t="shared" si="67"/>
        <v>0</v>
      </c>
      <c r="M263" s="156">
        <f t="shared" si="67"/>
        <v>0</v>
      </c>
      <c r="N263" s="508">
        <f t="shared" si="67"/>
        <v>0</v>
      </c>
      <c r="O263" s="156">
        <f t="shared" si="67"/>
        <v>0</v>
      </c>
      <c r="P263" s="156">
        <f t="shared" si="67"/>
        <v>0</v>
      </c>
      <c r="Q263" s="156">
        <f t="shared" si="67"/>
        <v>0</v>
      </c>
      <c r="R263" s="156">
        <f t="shared" si="67"/>
        <v>0</v>
      </c>
      <c r="S263" s="156">
        <f t="shared" si="67"/>
        <v>0</v>
      </c>
      <c r="T263" s="156">
        <f t="shared" si="67"/>
        <v>0</v>
      </c>
      <c r="U263" s="156">
        <f t="shared" si="67"/>
        <v>0</v>
      </c>
      <c r="V263" s="156">
        <f t="shared" si="67"/>
        <v>0</v>
      </c>
      <c r="W263" s="156">
        <f t="shared" si="67"/>
        <v>0</v>
      </c>
      <c r="X263" s="156">
        <f t="shared" si="67"/>
        <v>0</v>
      </c>
      <c r="Y263" s="156">
        <f t="shared" si="67"/>
        <v>0</v>
      </c>
      <c r="Z263" s="156">
        <f t="shared" si="67"/>
        <v>0</v>
      </c>
      <c r="AA263" s="902">
        <f t="shared" si="67"/>
        <v>0</v>
      </c>
      <c r="AB263" s="508">
        <f t="shared" si="67"/>
        <v>0</v>
      </c>
      <c r="AC263" s="156">
        <f t="shared" si="67"/>
        <v>0</v>
      </c>
      <c r="AD263" s="156">
        <f t="shared" si="67"/>
        <v>0</v>
      </c>
      <c r="AE263" s="156">
        <f t="shared" si="67"/>
        <v>0</v>
      </c>
      <c r="AF263" s="156">
        <f t="shared" si="67"/>
        <v>0</v>
      </c>
      <c r="AG263" s="156">
        <f t="shared" si="67"/>
        <v>0</v>
      </c>
      <c r="AH263" s="786">
        <f t="shared" si="64"/>
        <v>0</v>
      </c>
      <c r="AI263" s="1082"/>
      <c r="AJ263" s="490"/>
      <c r="AK263" s="509"/>
      <c r="AL263" s="765"/>
      <c r="AM263" s="769"/>
      <c r="AN263" s="396"/>
      <c r="AO263" s="397"/>
      <c r="AP263" s="37"/>
      <c r="AQ263" s="491"/>
      <c r="AR263" s="491"/>
      <c r="AS263" s="491"/>
      <c r="AT263" s="491"/>
      <c r="AU263" s="491"/>
      <c r="AV263" s="491"/>
      <c r="AW263" s="491"/>
      <c r="AX263" s="491"/>
      <c r="AY263" s="491"/>
      <c r="AZ263" s="491"/>
      <c r="BA263" s="491"/>
    </row>
    <row r="264" spans="1:53" ht="18.75" customHeight="1" x14ac:dyDescent="0.3">
      <c r="A264" s="742"/>
      <c r="B264" s="506"/>
      <c r="C264" s="482"/>
      <c r="D264" s="507" t="s">
        <v>246</v>
      </c>
      <c r="E264" s="150">
        <f t="shared" ref="E264:AG264" si="68">SUM(E240+E263)</f>
        <v>88126.2</v>
      </c>
      <c r="F264" s="150">
        <f t="shared" si="68"/>
        <v>104149.33</v>
      </c>
      <c r="G264" s="150">
        <f t="shared" si="68"/>
        <v>6305</v>
      </c>
      <c r="H264" s="150">
        <f t="shared" si="68"/>
        <v>0</v>
      </c>
      <c r="I264" s="150">
        <f t="shared" si="68"/>
        <v>0</v>
      </c>
      <c r="J264" s="150">
        <f t="shared" si="68"/>
        <v>2600</v>
      </c>
      <c r="K264" s="150">
        <f t="shared" si="68"/>
        <v>0</v>
      </c>
      <c r="L264" s="150">
        <f t="shared" si="68"/>
        <v>54590</v>
      </c>
      <c r="M264" s="150">
        <f t="shared" si="68"/>
        <v>330000</v>
      </c>
      <c r="N264" s="510">
        <f t="shared" si="68"/>
        <v>23600</v>
      </c>
      <c r="O264" s="150">
        <f t="shared" si="68"/>
        <v>55717</v>
      </c>
      <c r="P264" s="150">
        <f t="shared" si="68"/>
        <v>87210</v>
      </c>
      <c r="Q264" s="150">
        <f t="shared" si="68"/>
        <v>0</v>
      </c>
      <c r="R264" s="150">
        <f t="shared" si="68"/>
        <v>0</v>
      </c>
      <c r="S264" s="150">
        <f t="shared" si="68"/>
        <v>0</v>
      </c>
      <c r="T264" s="150">
        <f t="shared" si="68"/>
        <v>214000</v>
      </c>
      <c r="U264" s="150">
        <f t="shared" si="68"/>
        <v>0</v>
      </c>
      <c r="V264" s="150">
        <f t="shared" si="68"/>
        <v>98000</v>
      </c>
      <c r="W264" s="150">
        <f t="shared" si="68"/>
        <v>1657002</v>
      </c>
      <c r="X264" s="150">
        <f t="shared" si="68"/>
        <v>1620000</v>
      </c>
      <c r="Y264" s="150">
        <f t="shared" si="68"/>
        <v>0</v>
      </c>
      <c r="Z264" s="150">
        <f t="shared" si="68"/>
        <v>99296</v>
      </c>
      <c r="AA264" s="903">
        <f t="shared" si="68"/>
        <v>152876.25</v>
      </c>
      <c r="AB264" s="510">
        <f t="shared" si="68"/>
        <v>350000</v>
      </c>
      <c r="AC264" s="150">
        <f t="shared" si="68"/>
        <v>364200</v>
      </c>
      <c r="AD264" s="150">
        <f t="shared" si="68"/>
        <v>0</v>
      </c>
      <c r="AE264" s="150">
        <f t="shared" si="68"/>
        <v>515869</v>
      </c>
      <c r="AF264" s="150">
        <f t="shared" si="68"/>
        <v>0</v>
      </c>
      <c r="AG264" s="150">
        <f t="shared" si="68"/>
        <v>0</v>
      </c>
      <c r="AH264" s="786">
        <f t="shared" si="64"/>
        <v>5823540.7800000003</v>
      </c>
      <c r="AI264" s="1082"/>
      <c r="AJ264" s="490"/>
      <c r="AK264" s="509"/>
      <c r="AL264" s="765"/>
      <c r="AM264" s="769"/>
      <c r="AN264" s="396"/>
      <c r="AO264" s="397"/>
      <c r="AP264" s="37"/>
      <c r="AQ264" s="55"/>
      <c r="AR264" s="55"/>
      <c r="AS264" s="55"/>
      <c r="AT264" s="55"/>
      <c r="AU264" s="55"/>
      <c r="AV264" s="55"/>
      <c r="AW264" s="55"/>
      <c r="AX264" s="55"/>
      <c r="AY264" s="55"/>
      <c r="AZ264" s="55"/>
      <c r="BA264" s="55"/>
    </row>
    <row r="265" spans="1:53" ht="18.75" customHeight="1" x14ac:dyDescent="0.3">
      <c r="A265" s="743"/>
      <c r="B265" s="511"/>
      <c r="C265" s="484"/>
      <c r="D265" s="512" t="s">
        <v>247</v>
      </c>
      <c r="E265" s="153">
        <f t="shared" ref="E265:AG265" si="69">SUM(E241-E263)</f>
        <v>655373.80000000005</v>
      </c>
      <c r="F265" s="153">
        <f t="shared" si="69"/>
        <v>195850.66999999998</v>
      </c>
      <c r="G265" s="153">
        <f t="shared" si="69"/>
        <v>26095</v>
      </c>
      <c r="H265" s="153">
        <f t="shared" si="69"/>
        <v>0</v>
      </c>
      <c r="I265" s="153">
        <f t="shared" si="69"/>
        <v>0</v>
      </c>
      <c r="J265" s="153">
        <f t="shared" si="69"/>
        <v>-2600</v>
      </c>
      <c r="K265" s="153">
        <f t="shared" si="69"/>
        <v>0</v>
      </c>
      <c r="L265" s="153">
        <f t="shared" si="69"/>
        <v>93310</v>
      </c>
      <c r="M265" s="153">
        <f t="shared" si="69"/>
        <v>-376700</v>
      </c>
      <c r="N265" s="513">
        <f t="shared" si="69"/>
        <v>-23600</v>
      </c>
      <c r="O265" s="153">
        <f t="shared" si="69"/>
        <v>594283</v>
      </c>
      <c r="P265" s="153">
        <f t="shared" si="69"/>
        <v>79490</v>
      </c>
      <c r="Q265" s="153">
        <f t="shared" si="69"/>
        <v>1573400</v>
      </c>
      <c r="R265" s="153">
        <f t="shared" si="69"/>
        <v>0</v>
      </c>
      <c r="S265" s="153">
        <f t="shared" si="69"/>
        <v>0</v>
      </c>
      <c r="T265" s="153">
        <f t="shared" si="69"/>
        <v>100000</v>
      </c>
      <c r="U265" s="153">
        <f t="shared" si="69"/>
        <v>488945</v>
      </c>
      <c r="V265" s="153">
        <f t="shared" si="69"/>
        <v>76900</v>
      </c>
      <c r="W265" s="153">
        <f t="shared" si="69"/>
        <v>-363343</v>
      </c>
      <c r="X265" s="153">
        <f t="shared" si="69"/>
        <v>-15200</v>
      </c>
      <c r="Y265" s="153">
        <f t="shared" si="69"/>
        <v>289600</v>
      </c>
      <c r="Z265" s="153">
        <f t="shared" si="69"/>
        <v>100000</v>
      </c>
      <c r="AA265" s="904">
        <f t="shared" si="69"/>
        <v>107123.75</v>
      </c>
      <c r="AB265" s="513">
        <f t="shared" si="69"/>
        <v>-75200</v>
      </c>
      <c r="AC265" s="153">
        <f t="shared" si="69"/>
        <v>-166200</v>
      </c>
      <c r="AD265" s="153">
        <f t="shared" si="69"/>
        <v>0</v>
      </c>
      <c r="AE265" s="153">
        <f t="shared" si="69"/>
        <v>7984131</v>
      </c>
      <c r="AF265" s="153">
        <f t="shared" si="69"/>
        <v>716400</v>
      </c>
      <c r="AG265" s="153">
        <f t="shared" si="69"/>
        <v>1113800</v>
      </c>
      <c r="AH265" s="787">
        <f t="shared" si="64"/>
        <v>13171859.219999999</v>
      </c>
      <c r="AI265" s="1082"/>
      <c r="AJ265" s="490"/>
      <c r="AK265" s="509"/>
      <c r="AL265" s="765"/>
      <c r="AM265" s="769"/>
      <c r="AN265" s="396"/>
      <c r="AO265" s="397"/>
      <c r="AP265" s="37"/>
      <c r="AQ265" s="55"/>
      <c r="AR265" s="55"/>
      <c r="AS265" s="55"/>
      <c r="AT265" s="55"/>
      <c r="AU265" s="55"/>
      <c r="AV265" s="55"/>
      <c r="AW265" s="55"/>
      <c r="AX265" s="55"/>
      <c r="AY265" s="55"/>
      <c r="AZ265" s="55"/>
      <c r="BA265" s="55"/>
    </row>
    <row r="266" spans="1:53" ht="18.75" customHeight="1" x14ac:dyDescent="0.3">
      <c r="A266" s="1035" t="s">
        <v>248</v>
      </c>
      <c r="B266" s="171"/>
      <c r="C266" s="955"/>
      <c r="D266" s="41"/>
      <c r="E266" s="684"/>
      <c r="F266" s="684"/>
      <c r="G266" s="684"/>
      <c r="H266" s="684"/>
      <c r="I266" s="684"/>
      <c r="J266" s="966"/>
      <c r="K266" s="966"/>
      <c r="L266" s="966"/>
      <c r="M266" s="684"/>
      <c r="N266" s="37"/>
      <c r="O266" s="684"/>
      <c r="P266" s="37"/>
      <c r="Q266" s="684"/>
      <c r="R266" s="684"/>
      <c r="S266" s="684"/>
      <c r="T266" s="684"/>
      <c r="U266" s="37"/>
      <c r="V266" s="684"/>
      <c r="W266" s="37"/>
      <c r="X266" s="684"/>
      <c r="Y266" s="37"/>
      <c r="Z266" s="684"/>
      <c r="AA266" s="897"/>
      <c r="AB266" s="870"/>
      <c r="AC266" s="684"/>
      <c r="AD266" s="684"/>
      <c r="AE266" s="684"/>
      <c r="AF266" s="684"/>
      <c r="AG266" s="684"/>
      <c r="AH266" s="1036"/>
      <c r="AI266" s="937"/>
      <c r="AJ266" s="42"/>
      <c r="AK266" s="494"/>
      <c r="AL266" s="764"/>
      <c r="AM266" s="769"/>
      <c r="AN266" s="481"/>
      <c r="AO266" s="395"/>
      <c r="AP266" s="37"/>
      <c r="AQ266" s="37"/>
      <c r="AR266" s="37"/>
      <c r="AS266" s="476"/>
      <c r="AT266" s="476"/>
      <c r="AU266" s="476"/>
      <c r="AV266" s="476"/>
      <c r="AW266" s="476"/>
      <c r="AX266" s="476"/>
      <c r="AY266" s="476"/>
      <c r="AZ266" s="476"/>
      <c r="BA266" s="476"/>
    </row>
    <row r="267" spans="1:53" ht="18.75" x14ac:dyDescent="0.3">
      <c r="A267" s="957"/>
      <c r="B267" s="171"/>
      <c r="C267" s="955"/>
      <c r="D267" s="34"/>
      <c r="E267" s="684"/>
      <c r="F267" s="684"/>
      <c r="G267" s="684"/>
      <c r="H267" s="684"/>
      <c r="I267" s="684"/>
      <c r="J267" s="684"/>
      <c r="K267" s="684"/>
      <c r="L267" s="684"/>
      <c r="M267" s="684"/>
      <c r="N267" s="37"/>
      <c r="O267" s="684"/>
      <c r="P267" s="37"/>
      <c r="Q267" s="684"/>
      <c r="R267" s="684"/>
      <c r="S267" s="684"/>
      <c r="T267" s="684"/>
      <c r="U267" s="37"/>
      <c r="V267" s="684"/>
      <c r="W267" s="37"/>
      <c r="X267" s="684"/>
      <c r="Y267" s="37"/>
      <c r="Z267" s="684"/>
      <c r="AA267" s="897"/>
      <c r="AB267" s="870"/>
      <c r="AC267" s="684"/>
      <c r="AD267" s="684"/>
      <c r="AE267" s="684"/>
      <c r="AF267" s="684"/>
      <c r="AG267" s="684"/>
      <c r="AH267" s="807">
        <f t="shared" ref="AH267:AH289" si="70">SUM(E267:AG267)</f>
        <v>0</v>
      </c>
      <c r="AI267" s="937"/>
      <c r="AJ267" s="42"/>
      <c r="AK267" s="494"/>
      <c r="AL267" s="764"/>
      <c r="AM267" s="769">
        <f>AH267-AK267-AL267</f>
        <v>0</v>
      </c>
      <c r="AN267" s="881"/>
      <c r="AO267" s="882"/>
      <c r="AP267" s="870"/>
      <c r="AQ267" s="870"/>
      <c r="AR267" s="870"/>
      <c r="AS267" s="870"/>
      <c r="AT267" s="870"/>
      <c r="AU267" s="870"/>
      <c r="AV267" s="870"/>
      <c r="AW267" s="870"/>
      <c r="AX267" s="870"/>
      <c r="AY267" s="870"/>
      <c r="AZ267" s="870"/>
      <c r="BA267" s="870">
        <f>SUM(AO267:AZ267)</f>
        <v>0</v>
      </c>
    </row>
    <row r="268" spans="1:53" ht="18.75" x14ac:dyDescent="0.3">
      <c r="A268" s="957"/>
      <c r="B268" s="171"/>
      <c r="C268" s="955"/>
      <c r="D268" s="34"/>
      <c r="E268" s="684"/>
      <c r="F268" s="684"/>
      <c r="G268" s="684"/>
      <c r="H268" s="684"/>
      <c r="I268" s="684"/>
      <c r="J268" s="684"/>
      <c r="K268" s="684"/>
      <c r="L268" s="684"/>
      <c r="M268" s="684"/>
      <c r="N268" s="37"/>
      <c r="O268" s="684"/>
      <c r="P268" s="37"/>
      <c r="Q268" s="684"/>
      <c r="R268" s="684"/>
      <c r="S268" s="684"/>
      <c r="T268" s="684"/>
      <c r="U268" s="37"/>
      <c r="V268" s="684"/>
      <c r="W268" s="37"/>
      <c r="X268" s="684"/>
      <c r="Y268" s="37"/>
      <c r="Z268" s="684"/>
      <c r="AA268" s="897"/>
      <c r="AB268" s="870"/>
      <c r="AC268" s="684"/>
      <c r="AD268" s="684"/>
      <c r="AE268" s="684"/>
      <c r="AF268" s="684"/>
      <c r="AG268" s="684"/>
      <c r="AH268" s="807">
        <f t="shared" si="70"/>
        <v>0</v>
      </c>
      <c r="AI268" s="937"/>
      <c r="AJ268" s="42"/>
      <c r="AK268" s="494"/>
      <c r="AL268" s="764"/>
      <c r="AM268" s="769">
        <f t="shared" ref="AM268:AM286" si="71">AH268-AK268-AL268</f>
        <v>0</v>
      </c>
      <c r="AN268" s="881"/>
      <c r="AO268" s="882"/>
      <c r="AP268" s="870"/>
      <c r="AQ268" s="870"/>
      <c r="AR268" s="870"/>
      <c r="AS268" s="870"/>
      <c r="AT268" s="870"/>
      <c r="AU268" s="870"/>
      <c r="AV268" s="870"/>
      <c r="AW268" s="870"/>
      <c r="AX268" s="870"/>
      <c r="AY268" s="870"/>
      <c r="AZ268" s="870"/>
      <c r="BA268" s="870">
        <f t="shared" ref="BA268:BA286" si="72">SUM(AO268:AZ268)</f>
        <v>0</v>
      </c>
    </row>
    <row r="269" spans="1:53" ht="18.75" x14ac:dyDescent="0.3">
      <c r="A269" s="957"/>
      <c r="B269" s="171"/>
      <c r="C269" s="955"/>
      <c r="D269" s="34"/>
      <c r="E269" s="684"/>
      <c r="F269" s="684"/>
      <c r="G269" s="684"/>
      <c r="H269" s="684"/>
      <c r="I269" s="684"/>
      <c r="J269" s="684"/>
      <c r="K269" s="684"/>
      <c r="L269" s="684"/>
      <c r="M269" s="684"/>
      <c r="N269" s="37"/>
      <c r="O269" s="684"/>
      <c r="P269" s="37"/>
      <c r="Q269" s="684"/>
      <c r="R269" s="684"/>
      <c r="S269" s="684"/>
      <c r="T269" s="684"/>
      <c r="U269" s="37"/>
      <c r="V269" s="684"/>
      <c r="W269" s="37"/>
      <c r="X269" s="684"/>
      <c r="Y269" s="37"/>
      <c r="Z269" s="684"/>
      <c r="AA269" s="897"/>
      <c r="AB269" s="870"/>
      <c r="AC269" s="684"/>
      <c r="AD269" s="684"/>
      <c r="AE269" s="684"/>
      <c r="AF269" s="684"/>
      <c r="AG269" s="684"/>
      <c r="AH269" s="807">
        <f t="shared" si="70"/>
        <v>0</v>
      </c>
      <c r="AI269" s="937"/>
      <c r="AJ269" s="65"/>
      <c r="AK269" s="494"/>
      <c r="AL269" s="764"/>
      <c r="AM269" s="769">
        <f t="shared" si="71"/>
        <v>0</v>
      </c>
      <c r="AN269" s="881"/>
      <c r="AO269" s="882"/>
      <c r="AP269" s="870"/>
      <c r="AQ269" s="870"/>
      <c r="AR269" s="870"/>
      <c r="AS269" s="870"/>
      <c r="AT269" s="870"/>
      <c r="AU269" s="870"/>
      <c r="AV269" s="870"/>
      <c r="AW269" s="870"/>
      <c r="AX269" s="870"/>
      <c r="AY269" s="870"/>
      <c r="AZ269" s="870"/>
      <c r="BA269" s="870">
        <f t="shared" si="72"/>
        <v>0</v>
      </c>
    </row>
    <row r="270" spans="1:53" ht="18.75" x14ac:dyDescent="0.3">
      <c r="A270" s="957"/>
      <c r="B270" s="871"/>
      <c r="C270" s="840"/>
      <c r="D270" s="34"/>
      <c r="E270" s="684"/>
      <c r="F270" s="684"/>
      <c r="G270" s="684"/>
      <c r="H270" s="684"/>
      <c r="I270" s="684"/>
      <c r="J270" s="684"/>
      <c r="K270" s="684"/>
      <c r="L270" s="684"/>
      <c r="M270" s="684"/>
      <c r="N270" s="37"/>
      <c r="O270" s="684"/>
      <c r="P270" s="37"/>
      <c r="Q270" s="684"/>
      <c r="R270" s="684"/>
      <c r="S270" s="684"/>
      <c r="T270" s="684"/>
      <c r="U270" s="37"/>
      <c r="V270" s="684"/>
      <c r="W270" s="37"/>
      <c r="X270" s="684"/>
      <c r="Y270" s="37"/>
      <c r="Z270" s="684"/>
      <c r="AA270" s="897"/>
      <c r="AB270" s="870"/>
      <c r="AC270" s="684"/>
      <c r="AD270" s="684"/>
      <c r="AE270" s="684"/>
      <c r="AF270" s="684"/>
      <c r="AG270" s="684"/>
      <c r="AH270" s="807">
        <f t="shared" si="70"/>
        <v>0</v>
      </c>
      <c r="AI270" s="940"/>
      <c r="AJ270" s="874"/>
      <c r="AK270" s="875"/>
      <c r="AL270" s="764"/>
      <c r="AM270" s="769">
        <f t="shared" si="71"/>
        <v>0</v>
      </c>
      <c r="AN270" s="881"/>
      <c r="AO270" s="882"/>
      <c r="AP270" s="870"/>
      <c r="AQ270" s="870"/>
      <c r="AR270" s="870"/>
      <c r="AS270" s="870"/>
      <c r="AT270" s="870"/>
      <c r="AU270" s="870"/>
      <c r="AV270" s="870"/>
      <c r="AW270" s="870"/>
      <c r="AX270" s="870"/>
      <c r="AY270" s="870"/>
      <c r="AZ270" s="870"/>
      <c r="BA270" s="870">
        <f t="shared" si="72"/>
        <v>0</v>
      </c>
    </row>
    <row r="271" spans="1:53" ht="18.75" x14ac:dyDescent="0.3">
      <c r="A271" s="957"/>
      <c r="B271" s="871"/>
      <c r="C271" s="955"/>
      <c r="D271" s="34"/>
      <c r="E271" s="684"/>
      <c r="F271" s="684"/>
      <c r="G271" s="684"/>
      <c r="H271" s="684"/>
      <c r="I271" s="684"/>
      <c r="J271" s="684"/>
      <c r="K271" s="684"/>
      <c r="L271" s="684"/>
      <c r="M271" s="684"/>
      <c r="N271" s="37"/>
      <c r="O271" s="684"/>
      <c r="P271" s="37"/>
      <c r="Q271" s="684"/>
      <c r="R271" s="684"/>
      <c r="S271" s="684"/>
      <c r="T271" s="684"/>
      <c r="U271" s="37"/>
      <c r="V271" s="684"/>
      <c r="W271" s="37"/>
      <c r="X271" s="684"/>
      <c r="Y271" s="37"/>
      <c r="Z271" s="684"/>
      <c r="AA271" s="897"/>
      <c r="AB271" s="870"/>
      <c r="AC271" s="684"/>
      <c r="AD271" s="684"/>
      <c r="AE271" s="684"/>
      <c r="AF271" s="684"/>
      <c r="AG271" s="684"/>
      <c r="AH271" s="807">
        <f t="shared" si="70"/>
        <v>0</v>
      </c>
      <c r="AI271" s="940"/>
      <c r="AJ271" s="874"/>
      <c r="AK271" s="494"/>
      <c r="AL271" s="764"/>
      <c r="AM271" s="769">
        <f t="shared" si="71"/>
        <v>0</v>
      </c>
      <c r="AN271" s="881"/>
      <c r="AO271" s="882"/>
      <c r="AP271" s="870"/>
      <c r="AQ271" s="886"/>
      <c r="AR271" s="870"/>
      <c r="AS271" s="870"/>
      <c r="AT271" s="870"/>
      <c r="AU271" s="870"/>
      <c r="AV271" s="870"/>
      <c r="AW271" s="870"/>
      <c r="AX271" s="870"/>
      <c r="AY271" s="870"/>
      <c r="AZ271" s="870"/>
      <c r="BA271" s="870">
        <f t="shared" si="72"/>
        <v>0</v>
      </c>
    </row>
    <row r="272" spans="1:53" ht="18.75" x14ac:dyDescent="0.3">
      <c r="A272" s="957"/>
      <c r="B272" s="871"/>
      <c r="C272" s="955"/>
      <c r="D272" s="34"/>
      <c r="E272" s="684"/>
      <c r="F272" s="684"/>
      <c r="G272" s="684"/>
      <c r="H272" s="684"/>
      <c r="I272" s="684"/>
      <c r="J272" s="684"/>
      <c r="K272" s="684"/>
      <c r="L272" s="684"/>
      <c r="M272" s="684"/>
      <c r="N272" s="37"/>
      <c r="O272" s="684"/>
      <c r="P272" s="37"/>
      <c r="Q272" s="684"/>
      <c r="R272" s="684"/>
      <c r="S272" s="684"/>
      <c r="T272" s="684"/>
      <c r="U272" s="37"/>
      <c r="V272" s="684"/>
      <c r="W272" s="37"/>
      <c r="X272" s="684"/>
      <c r="Y272" s="37"/>
      <c r="Z272" s="684"/>
      <c r="AA272" s="897"/>
      <c r="AB272" s="870"/>
      <c r="AC272" s="684"/>
      <c r="AD272" s="684"/>
      <c r="AE272" s="684"/>
      <c r="AF272" s="684"/>
      <c r="AG272" s="684"/>
      <c r="AH272" s="807">
        <f t="shared" si="70"/>
        <v>0</v>
      </c>
      <c r="AI272" s="940"/>
      <c r="AJ272" s="874"/>
      <c r="AK272" s="494"/>
      <c r="AL272" s="764"/>
      <c r="AM272" s="769">
        <f t="shared" si="71"/>
        <v>0</v>
      </c>
      <c r="AN272" s="881"/>
      <c r="AO272" s="882"/>
      <c r="AP272" s="870"/>
      <c r="AQ272" s="870"/>
      <c r="AR272" s="870"/>
      <c r="AS272" s="870"/>
      <c r="AT272" s="870"/>
      <c r="AU272" s="870"/>
      <c r="AV272" s="870"/>
      <c r="AW272" s="870"/>
      <c r="AX272" s="870"/>
      <c r="AY272" s="870"/>
      <c r="AZ272" s="870"/>
      <c r="BA272" s="870">
        <f t="shared" si="72"/>
        <v>0</v>
      </c>
    </row>
    <row r="273" spans="1:53" ht="18.75" x14ac:dyDescent="0.3">
      <c r="A273" s="957"/>
      <c r="B273" s="871"/>
      <c r="C273" s="955"/>
      <c r="D273" s="34"/>
      <c r="E273" s="684"/>
      <c r="F273" s="684"/>
      <c r="G273" s="684"/>
      <c r="H273" s="684"/>
      <c r="I273" s="684"/>
      <c r="J273" s="684"/>
      <c r="K273" s="684"/>
      <c r="L273" s="684"/>
      <c r="M273" s="684"/>
      <c r="N273" s="37"/>
      <c r="O273" s="684"/>
      <c r="P273" s="37"/>
      <c r="Q273" s="684"/>
      <c r="R273" s="684"/>
      <c r="S273" s="684"/>
      <c r="T273" s="684"/>
      <c r="U273" s="37"/>
      <c r="V273" s="684"/>
      <c r="W273" s="37"/>
      <c r="X273" s="684"/>
      <c r="Y273" s="37"/>
      <c r="Z273" s="684"/>
      <c r="AA273" s="897"/>
      <c r="AB273" s="870"/>
      <c r="AC273" s="684"/>
      <c r="AD273" s="684"/>
      <c r="AE273" s="684"/>
      <c r="AF273" s="684"/>
      <c r="AG273" s="684"/>
      <c r="AH273" s="807">
        <f t="shared" si="70"/>
        <v>0</v>
      </c>
      <c r="AI273" s="937"/>
      <c r="AJ273" s="876"/>
      <c r="AK273" s="494"/>
      <c r="AL273" s="764"/>
      <c r="AM273" s="769">
        <f t="shared" si="71"/>
        <v>0</v>
      </c>
      <c r="AN273" s="881"/>
      <c r="AO273" s="882"/>
      <c r="AP273" s="870"/>
      <c r="AQ273" s="870"/>
      <c r="AR273" s="870"/>
      <c r="AS273" s="870"/>
      <c r="AT273" s="870"/>
      <c r="AU273" s="870"/>
      <c r="AV273" s="870"/>
      <c r="AW273" s="870"/>
      <c r="AX273" s="870"/>
      <c r="AY273" s="870"/>
      <c r="AZ273" s="870"/>
      <c r="BA273" s="870">
        <f t="shared" si="72"/>
        <v>0</v>
      </c>
    </row>
    <row r="274" spans="1:53" ht="18.75" x14ac:dyDescent="0.3">
      <c r="A274" s="957"/>
      <c r="B274" s="871"/>
      <c r="C274" s="955"/>
      <c r="D274" s="34"/>
      <c r="E274" s="684"/>
      <c r="F274" s="684"/>
      <c r="G274" s="684"/>
      <c r="H274" s="684"/>
      <c r="I274" s="684"/>
      <c r="J274" s="684"/>
      <c r="K274" s="684"/>
      <c r="L274" s="684"/>
      <c r="M274" s="684"/>
      <c r="N274" s="37"/>
      <c r="O274" s="684"/>
      <c r="P274" s="37"/>
      <c r="Q274" s="684"/>
      <c r="R274" s="684"/>
      <c r="S274" s="684"/>
      <c r="T274" s="684"/>
      <c r="U274" s="37"/>
      <c r="V274" s="684"/>
      <c r="W274" s="37"/>
      <c r="X274" s="684"/>
      <c r="Y274" s="37"/>
      <c r="Z274" s="684"/>
      <c r="AA274" s="897"/>
      <c r="AB274" s="870"/>
      <c r="AC274" s="684"/>
      <c r="AD274" s="684"/>
      <c r="AE274" s="684"/>
      <c r="AF274" s="684"/>
      <c r="AG274" s="684"/>
      <c r="AH274" s="1036">
        <f t="shared" si="70"/>
        <v>0</v>
      </c>
      <c r="AI274" s="940"/>
      <c r="AJ274" s="874"/>
      <c r="AK274" s="494"/>
      <c r="AL274" s="764"/>
      <c r="AM274" s="769">
        <f t="shared" si="71"/>
        <v>0</v>
      </c>
      <c r="AN274" s="881"/>
      <c r="AO274" s="882"/>
      <c r="AP274" s="870"/>
      <c r="AQ274" s="870"/>
      <c r="AR274" s="870"/>
      <c r="AS274" s="870"/>
      <c r="AT274" s="870"/>
      <c r="AU274" s="870"/>
      <c r="AV274" s="870"/>
      <c r="AW274" s="870"/>
      <c r="AX274" s="870"/>
      <c r="AY274" s="870"/>
      <c r="AZ274" s="870"/>
      <c r="BA274" s="870">
        <f t="shared" si="72"/>
        <v>0</v>
      </c>
    </row>
    <row r="275" spans="1:53" ht="18.75" x14ac:dyDescent="0.3">
      <c r="A275" s="957"/>
      <c r="B275" s="871"/>
      <c r="C275" s="955"/>
      <c r="D275" s="34"/>
      <c r="E275" s="684"/>
      <c r="F275" s="684"/>
      <c r="G275" s="684"/>
      <c r="H275" s="684"/>
      <c r="I275" s="684"/>
      <c r="J275" s="684"/>
      <c r="K275" s="684"/>
      <c r="L275" s="684"/>
      <c r="M275" s="684"/>
      <c r="N275" s="37"/>
      <c r="O275" s="684"/>
      <c r="P275" s="37"/>
      <c r="Q275" s="684"/>
      <c r="R275" s="684"/>
      <c r="S275" s="684"/>
      <c r="T275" s="684"/>
      <c r="U275" s="37"/>
      <c r="V275" s="684"/>
      <c r="W275" s="37"/>
      <c r="X275" s="684"/>
      <c r="Y275" s="37"/>
      <c r="Z275" s="684"/>
      <c r="AA275" s="897"/>
      <c r="AB275" s="870"/>
      <c r="AC275" s="684"/>
      <c r="AD275" s="684"/>
      <c r="AE275" s="684"/>
      <c r="AF275" s="684"/>
      <c r="AG275" s="684"/>
      <c r="AH275" s="807">
        <f t="shared" si="70"/>
        <v>0</v>
      </c>
      <c r="AI275" s="940"/>
      <c r="AJ275" s="874"/>
      <c r="AK275" s="494"/>
      <c r="AL275" s="764"/>
      <c r="AM275" s="769">
        <f t="shared" si="71"/>
        <v>0</v>
      </c>
      <c r="AN275" s="881"/>
      <c r="AO275" s="886"/>
      <c r="AP275" s="886"/>
      <c r="AQ275" s="870"/>
      <c r="AR275" s="870"/>
      <c r="AS275" s="870"/>
      <c r="AT275" s="870"/>
      <c r="AU275" s="870"/>
      <c r="AV275" s="870"/>
      <c r="AW275" s="870"/>
      <c r="AX275" s="870"/>
      <c r="AY275" s="870"/>
      <c r="AZ275" s="870"/>
      <c r="BA275" s="870">
        <f t="shared" si="72"/>
        <v>0</v>
      </c>
    </row>
    <row r="276" spans="1:53" ht="18.75" x14ac:dyDescent="0.3">
      <c r="A276" s="1079"/>
      <c r="B276" s="171"/>
      <c r="C276" s="955"/>
      <c r="D276" s="34"/>
      <c r="E276" s="684"/>
      <c r="F276" s="684"/>
      <c r="G276" s="684"/>
      <c r="H276" s="684"/>
      <c r="I276" s="684"/>
      <c r="J276" s="684"/>
      <c r="K276" s="684"/>
      <c r="L276" s="684"/>
      <c r="M276" s="684"/>
      <c r="N276" s="37"/>
      <c r="O276" s="684"/>
      <c r="P276" s="37"/>
      <c r="Q276" s="684"/>
      <c r="R276" s="684"/>
      <c r="S276" s="684"/>
      <c r="T276" s="684"/>
      <c r="U276" s="37"/>
      <c r="V276" s="684"/>
      <c r="W276" s="37"/>
      <c r="X276" s="684"/>
      <c r="Y276" s="37"/>
      <c r="Z276" s="684"/>
      <c r="AA276" s="897"/>
      <c r="AB276" s="870"/>
      <c r="AC276" s="684"/>
      <c r="AD276" s="684"/>
      <c r="AE276" s="684"/>
      <c r="AF276" s="684"/>
      <c r="AG276" s="684"/>
      <c r="AH276" s="807">
        <f t="shared" si="70"/>
        <v>0</v>
      </c>
      <c r="AI276" s="937"/>
      <c r="AJ276" s="42"/>
      <c r="AK276" s="494"/>
      <c r="AL276" s="764"/>
      <c r="AM276" s="769">
        <f t="shared" si="71"/>
        <v>0</v>
      </c>
      <c r="AN276" s="881"/>
      <c r="AO276" s="882"/>
      <c r="AP276" s="883"/>
      <c r="AQ276" s="883"/>
      <c r="AR276" s="883"/>
      <c r="AS276" s="883"/>
      <c r="AT276" s="883"/>
      <c r="AU276" s="883"/>
      <c r="AV276" s="883"/>
      <c r="AW276" s="883"/>
      <c r="AX276" s="883"/>
      <c r="AY276" s="883"/>
      <c r="AZ276" s="883"/>
      <c r="BA276" s="870">
        <f t="shared" si="72"/>
        <v>0</v>
      </c>
    </row>
    <row r="277" spans="1:53" ht="18.75" x14ac:dyDescent="0.3">
      <c r="A277" s="1079"/>
      <c r="B277" s="171"/>
      <c r="C277" s="955"/>
      <c r="D277" s="41"/>
      <c r="E277" s="684"/>
      <c r="F277" s="684"/>
      <c r="G277" s="684"/>
      <c r="H277" s="684"/>
      <c r="I277" s="684"/>
      <c r="J277" s="684"/>
      <c r="K277" s="684"/>
      <c r="L277" s="684"/>
      <c r="M277" s="684"/>
      <c r="N277" s="37"/>
      <c r="O277" s="684"/>
      <c r="P277" s="37"/>
      <c r="Q277" s="684"/>
      <c r="R277" s="684"/>
      <c r="S277" s="684"/>
      <c r="T277" s="684"/>
      <c r="U277" s="37"/>
      <c r="V277" s="684"/>
      <c r="W277" s="37"/>
      <c r="X277" s="684"/>
      <c r="Y277" s="37"/>
      <c r="Z277" s="684"/>
      <c r="AA277" s="897"/>
      <c r="AB277" s="870"/>
      <c r="AC277" s="684"/>
      <c r="AD277" s="684"/>
      <c r="AE277" s="684"/>
      <c r="AF277" s="684"/>
      <c r="AG277" s="684"/>
      <c r="AH277" s="807">
        <f t="shared" si="70"/>
        <v>0</v>
      </c>
      <c r="AI277" s="937"/>
      <c r="AJ277" s="42"/>
      <c r="AK277" s="494"/>
      <c r="AL277" s="764"/>
      <c r="AM277" s="769">
        <f t="shared" si="71"/>
        <v>0</v>
      </c>
      <c r="AN277" s="881"/>
      <c r="AO277" s="882"/>
      <c r="AP277" s="883"/>
      <c r="AQ277" s="883"/>
      <c r="AR277" s="883"/>
      <c r="AS277" s="883"/>
      <c r="AT277" s="883"/>
      <c r="AU277" s="883"/>
      <c r="AV277" s="883"/>
      <c r="AW277" s="883"/>
      <c r="AX277" s="883"/>
      <c r="AY277" s="883"/>
      <c r="AZ277" s="883"/>
      <c r="BA277" s="870">
        <f t="shared" si="72"/>
        <v>0</v>
      </c>
    </row>
    <row r="278" spans="1:53" ht="18.75" x14ac:dyDescent="0.3">
      <c r="A278" s="1079"/>
      <c r="B278" s="171"/>
      <c r="C278" s="955"/>
      <c r="D278" s="34"/>
      <c r="E278" s="684"/>
      <c r="F278" s="684"/>
      <c r="G278" s="684"/>
      <c r="H278" s="684"/>
      <c r="I278" s="684"/>
      <c r="J278" s="684"/>
      <c r="K278" s="684"/>
      <c r="L278" s="684"/>
      <c r="M278" s="684"/>
      <c r="N278" s="37"/>
      <c r="O278" s="684"/>
      <c r="P278" s="37"/>
      <c r="Q278" s="684"/>
      <c r="R278" s="684"/>
      <c r="S278" s="684"/>
      <c r="T278" s="684"/>
      <c r="U278" s="37"/>
      <c r="V278" s="684"/>
      <c r="W278" s="37"/>
      <c r="X278" s="684"/>
      <c r="Y278" s="37"/>
      <c r="Z278" s="684"/>
      <c r="AA278" s="897"/>
      <c r="AB278" s="870"/>
      <c r="AC278" s="684"/>
      <c r="AD278" s="684"/>
      <c r="AE278" s="684"/>
      <c r="AF278" s="684"/>
      <c r="AG278" s="684"/>
      <c r="AH278" s="807">
        <f t="shared" si="70"/>
        <v>0</v>
      </c>
      <c r="AI278" s="937"/>
      <c r="AJ278" s="42"/>
      <c r="AK278" s="494"/>
      <c r="AL278" s="764"/>
      <c r="AM278" s="769">
        <f t="shared" si="71"/>
        <v>0</v>
      </c>
      <c r="AN278" s="881"/>
      <c r="AO278" s="882"/>
      <c r="AP278" s="883"/>
      <c r="AQ278" s="883"/>
      <c r="AR278" s="883"/>
      <c r="AS278" s="883"/>
      <c r="AT278" s="883"/>
      <c r="AU278" s="883"/>
      <c r="AV278" s="883"/>
      <c r="AW278" s="883"/>
      <c r="AX278" s="883"/>
      <c r="AY278" s="883"/>
      <c r="AZ278" s="883"/>
      <c r="BA278" s="870">
        <f t="shared" si="72"/>
        <v>0</v>
      </c>
    </row>
    <row r="279" spans="1:53" ht="18.75" x14ac:dyDescent="0.3">
      <c r="A279" s="1079"/>
      <c r="B279" s="171"/>
      <c r="C279" s="955"/>
      <c r="D279" s="34"/>
      <c r="E279" s="684"/>
      <c r="F279" s="684"/>
      <c r="G279" s="684"/>
      <c r="H279" s="684"/>
      <c r="I279" s="684"/>
      <c r="J279" s="684"/>
      <c r="K279" s="684"/>
      <c r="L279" s="684"/>
      <c r="M279" s="684"/>
      <c r="N279" s="37"/>
      <c r="O279" s="684"/>
      <c r="P279" s="37"/>
      <c r="Q279" s="684"/>
      <c r="R279" s="684"/>
      <c r="S279" s="684"/>
      <c r="T279" s="684"/>
      <c r="U279" s="37"/>
      <c r="V279" s="684"/>
      <c r="W279" s="37"/>
      <c r="X279" s="684"/>
      <c r="Y279" s="37"/>
      <c r="Z279" s="684"/>
      <c r="AA279" s="897"/>
      <c r="AB279" s="870"/>
      <c r="AC279" s="684"/>
      <c r="AD279" s="684"/>
      <c r="AE279" s="684"/>
      <c r="AF279" s="684"/>
      <c r="AG279" s="684"/>
      <c r="AH279" s="807">
        <f t="shared" si="70"/>
        <v>0</v>
      </c>
      <c r="AI279" s="937"/>
      <c r="AJ279" s="42"/>
      <c r="AK279" s="494"/>
      <c r="AL279" s="764"/>
      <c r="AM279" s="769">
        <f t="shared" si="71"/>
        <v>0</v>
      </c>
      <c r="AN279" s="881"/>
      <c r="AO279" s="882"/>
      <c r="AP279" s="883"/>
      <c r="AQ279" s="883"/>
      <c r="AR279" s="883"/>
      <c r="AS279" s="883"/>
      <c r="AT279" s="883"/>
      <c r="AU279" s="883"/>
      <c r="AV279" s="883"/>
      <c r="AW279" s="883"/>
      <c r="AX279" s="883"/>
      <c r="AY279" s="883"/>
      <c r="AZ279" s="883"/>
      <c r="BA279" s="870">
        <f t="shared" si="72"/>
        <v>0</v>
      </c>
    </row>
    <row r="280" spans="1:53" ht="18.75" x14ac:dyDescent="0.3">
      <c r="A280" s="1079"/>
      <c r="B280" s="171"/>
      <c r="C280" s="955"/>
      <c r="D280" s="34"/>
      <c r="E280" s="684"/>
      <c r="F280" s="684"/>
      <c r="G280" s="684"/>
      <c r="H280" s="684"/>
      <c r="I280" s="684"/>
      <c r="J280" s="684"/>
      <c r="K280" s="684"/>
      <c r="L280" s="684"/>
      <c r="M280" s="684"/>
      <c r="N280" s="37"/>
      <c r="O280" s="684"/>
      <c r="P280" s="37"/>
      <c r="Q280" s="684"/>
      <c r="R280" s="684"/>
      <c r="S280" s="684"/>
      <c r="T280" s="684"/>
      <c r="U280" s="37"/>
      <c r="V280" s="684"/>
      <c r="W280" s="37"/>
      <c r="X280" s="684"/>
      <c r="Y280" s="37"/>
      <c r="Z280" s="684"/>
      <c r="AA280" s="897"/>
      <c r="AB280" s="870"/>
      <c r="AC280" s="684"/>
      <c r="AD280" s="684"/>
      <c r="AE280" s="684"/>
      <c r="AF280" s="684"/>
      <c r="AG280" s="684"/>
      <c r="AH280" s="807">
        <f t="shared" si="70"/>
        <v>0</v>
      </c>
      <c r="AI280" s="937"/>
      <c r="AJ280" s="42"/>
      <c r="AK280" s="494"/>
      <c r="AL280" s="764"/>
      <c r="AM280" s="769">
        <f t="shared" si="71"/>
        <v>0</v>
      </c>
      <c r="AN280" s="881"/>
      <c r="AO280" s="882"/>
      <c r="AP280" s="883"/>
      <c r="AQ280" s="883"/>
      <c r="AR280" s="883"/>
      <c r="AS280" s="883"/>
      <c r="AT280" s="883"/>
      <c r="AU280" s="883"/>
      <c r="AV280" s="883"/>
      <c r="AW280" s="883"/>
      <c r="AX280" s="883"/>
      <c r="AY280" s="883"/>
      <c r="AZ280" s="883"/>
      <c r="BA280" s="870">
        <f t="shared" si="72"/>
        <v>0</v>
      </c>
    </row>
    <row r="281" spans="1:53" ht="18.75" x14ac:dyDescent="0.3">
      <c r="A281" s="1079"/>
      <c r="B281" s="171"/>
      <c r="C281" s="955"/>
      <c r="D281" s="140"/>
      <c r="E281" s="684"/>
      <c r="F281" s="684"/>
      <c r="G281" s="684"/>
      <c r="H281" s="684"/>
      <c r="I281" s="1078"/>
      <c r="J281" s="684"/>
      <c r="K281" s="684"/>
      <c r="L281" s="684"/>
      <c r="M281" s="684"/>
      <c r="N281" s="37"/>
      <c r="O281" s="684"/>
      <c r="P281" s="37"/>
      <c r="Q281" s="684"/>
      <c r="R281" s="684"/>
      <c r="S281" s="684"/>
      <c r="T281" s="684"/>
      <c r="U281" s="37"/>
      <c r="V281" s="684"/>
      <c r="W281" s="37"/>
      <c r="X281" s="684"/>
      <c r="Y281" s="37"/>
      <c r="Z281" s="684"/>
      <c r="AA281" s="897"/>
      <c r="AB281" s="870"/>
      <c r="AC281" s="684"/>
      <c r="AD281" s="684"/>
      <c r="AE281" s="684"/>
      <c r="AF281" s="684"/>
      <c r="AG281" s="684"/>
      <c r="AH281" s="807">
        <f t="shared" si="70"/>
        <v>0</v>
      </c>
      <c r="AI281" s="937"/>
      <c r="AJ281" s="42"/>
      <c r="AK281" s="494"/>
      <c r="AL281" s="764"/>
      <c r="AM281" s="769">
        <f t="shared" si="71"/>
        <v>0</v>
      </c>
      <c r="AN281" s="881"/>
      <c r="AO281" s="882"/>
      <c r="AP281" s="883"/>
      <c r="AQ281" s="883"/>
      <c r="AR281" s="883"/>
      <c r="AS281" s="883"/>
      <c r="AT281" s="883"/>
      <c r="AU281" s="883"/>
      <c r="AV281" s="883"/>
      <c r="AW281" s="883"/>
      <c r="AX281" s="883"/>
      <c r="AY281" s="883"/>
      <c r="AZ281" s="883"/>
      <c r="BA281" s="870">
        <f t="shared" si="72"/>
        <v>0</v>
      </c>
    </row>
    <row r="282" spans="1:53" ht="18.75" x14ac:dyDescent="0.3">
      <c r="A282" s="1079"/>
      <c r="B282" s="171"/>
      <c r="C282" s="955"/>
      <c r="D282" s="140"/>
      <c r="E282" s="684"/>
      <c r="F282" s="684"/>
      <c r="G282" s="684"/>
      <c r="H282" s="684"/>
      <c r="I282" s="684"/>
      <c r="J282" s="684"/>
      <c r="K282" s="684"/>
      <c r="L282" s="684"/>
      <c r="M282" s="684"/>
      <c r="N282" s="37"/>
      <c r="O282" s="684"/>
      <c r="P282" s="55"/>
      <c r="Q282" s="684"/>
      <c r="R282" s="684"/>
      <c r="S282" s="684"/>
      <c r="T282" s="684"/>
      <c r="U282" s="37"/>
      <c r="V282" s="684"/>
      <c r="W282" s="37"/>
      <c r="X282" s="684"/>
      <c r="Y282" s="37"/>
      <c r="Z282" s="684"/>
      <c r="AA282" s="897"/>
      <c r="AB282" s="870"/>
      <c r="AC282" s="684"/>
      <c r="AD282" s="684"/>
      <c r="AE282" s="684"/>
      <c r="AF282" s="684"/>
      <c r="AG282" s="684"/>
      <c r="AH282" s="807">
        <f t="shared" si="70"/>
        <v>0</v>
      </c>
      <c r="AI282" s="937"/>
      <c r="AJ282" s="42"/>
      <c r="AK282" s="494"/>
      <c r="AL282" s="764"/>
      <c r="AM282" s="769">
        <f t="shared" si="71"/>
        <v>0</v>
      </c>
      <c r="AN282" s="881"/>
      <c r="AO282" s="882"/>
      <c r="AP282" s="883"/>
      <c r="AQ282" s="883"/>
      <c r="AR282" s="883"/>
      <c r="AS282" s="883"/>
      <c r="AT282" s="883"/>
      <c r="AU282" s="883"/>
      <c r="AV282" s="883"/>
      <c r="AW282" s="883"/>
      <c r="AX282" s="883"/>
      <c r="AY282" s="883"/>
      <c r="AZ282" s="883"/>
      <c r="BA282" s="870">
        <f t="shared" si="72"/>
        <v>0</v>
      </c>
    </row>
    <row r="283" spans="1:53" ht="18.75" x14ac:dyDescent="0.3">
      <c r="A283" s="1079"/>
      <c r="B283" s="171"/>
      <c r="C283" s="955"/>
      <c r="D283" s="140"/>
      <c r="E283" s="684"/>
      <c r="F283" s="684"/>
      <c r="G283" s="684"/>
      <c r="H283" s="684"/>
      <c r="I283" s="684"/>
      <c r="J283" s="684"/>
      <c r="K283" s="684"/>
      <c r="L283" s="1078"/>
      <c r="M283" s="684"/>
      <c r="N283" s="37"/>
      <c r="O283" s="684"/>
      <c r="P283" s="37"/>
      <c r="Q283" s="684"/>
      <c r="R283" s="684"/>
      <c r="S283" s="684"/>
      <c r="T283" s="684"/>
      <c r="U283" s="37"/>
      <c r="V283" s="684"/>
      <c r="W283" s="37"/>
      <c r="X283" s="684"/>
      <c r="Y283" s="37"/>
      <c r="Z283" s="684"/>
      <c r="AA283" s="897"/>
      <c r="AB283" s="870"/>
      <c r="AC283" s="684"/>
      <c r="AD283" s="684"/>
      <c r="AE283" s="684"/>
      <c r="AF283" s="684"/>
      <c r="AG283" s="684"/>
      <c r="AH283" s="807">
        <f t="shared" si="70"/>
        <v>0</v>
      </c>
      <c r="AI283" s="937"/>
      <c r="AJ283" s="42"/>
      <c r="AK283" s="494"/>
      <c r="AL283" s="764"/>
      <c r="AM283" s="769">
        <f t="shared" si="71"/>
        <v>0</v>
      </c>
      <c r="AN283" s="881"/>
      <c r="AO283" s="882"/>
      <c r="AP283" s="883"/>
      <c r="AQ283" s="883"/>
      <c r="AR283" s="883"/>
      <c r="AS283" s="883"/>
      <c r="AT283" s="883"/>
      <c r="AU283" s="883"/>
      <c r="AV283" s="883"/>
      <c r="AW283" s="883"/>
      <c r="AX283" s="883"/>
      <c r="AY283" s="883"/>
      <c r="AZ283" s="883"/>
      <c r="BA283" s="870">
        <f t="shared" si="72"/>
        <v>0</v>
      </c>
    </row>
    <row r="284" spans="1:53" ht="18.75" x14ac:dyDescent="0.3">
      <c r="A284" s="1079"/>
      <c r="B284" s="171"/>
      <c r="C284" s="955"/>
      <c r="D284" s="140"/>
      <c r="E284" s="684"/>
      <c r="F284" s="684"/>
      <c r="G284" s="684"/>
      <c r="H284" s="684"/>
      <c r="I284" s="684"/>
      <c r="J284" s="684"/>
      <c r="K284" s="684"/>
      <c r="L284" s="684"/>
      <c r="M284" s="1080"/>
      <c r="N284" s="37"/>
      <c r="O284" s="684"/>
      <c r="P284" s="37"/>
      <c r="Q284" s="684"/>
      <c r="R284" s="684"/>
      <c r="S284" s="684"/>
      <c r="T284" s="684"/>
      <c r="U284" s="37"/>
      <c r="V284" s="684"/>
      <c r="W284" s="37"/>
      <c r="X284" s="684"/>
      <c r="Y284" s="37"/>
      <c r="Z284" s="684"/>
      <c r="AA284" s="897"/>
      <c r="AB284" s="870"/>
      <c r="AC284" s="684"/>
      <c r="AD284" s="684"/>
      <c r="AE284" s="684"/>
      <c r="AF284" s="684"/>
      <c r="AG284" s="684"/>
      <c r="AH284" s="807">
        <f t="shared" si="70"/>
        <v>0</v>
      </c>
      <c r="AI284" s="937"/>
      <c r="AJ284" s="42"/>
      <c r="AK284" s="494"/>
      <c r="AL284" s="764"/>
      <c r="AM284" s="769">
        <f t="shared" si="71"/>
        <v>0</v>
      </c>
      <c r="AN284" s="881"/>
      <c r="AO284" s="882"/>
      <c r="AP284" s="883"/>
      <c r="AQ284" s="883"/>
      <c r="AR284" s="883"/>
      <c r="AS284" s="883"/>
      <c r="AT284" s="883"/>
      <c r="AU284" s="883"/>
      <c r="AV284" s="883"/>
      <c r="AW284" s="883"/>
      <c r="AX284" s="883"/>
      <c r="AY284" s="883"/>
      <c r="AZ284" s="883"/>
      <c r="BA284" s="870">
        <f t="shared" si="72"/>
        <v>0</v>
      </c>
    </row>
    <row r="285" spans="1:53" ht="18.75" x14ac:dyDescent="0.3">
      <c r="A285" s="1079"/>
      <c r="B285" s="171"/>
      <c r="C285" s="955"/>
      <c r="D285" s="140"/>
      <c r="E285" s="684"/>
      <c r="F285" s="684"/>
      <c r="G285" s="684"/>
      <c r="H285" s="684"/>
      <c r="I285" s="684"/>
      <c r="J285" s="684"/>
      <c r="K285" s="684"/>
      <c r="L285" s="1080"/>
      <c r="M285" s="684"/>
      <c r="N285" s="37"/>
      <c r="O285" s="684"/>
      <c r="P285" s="37"/>
      <c r="Q285" s="684"/>
      <c r="R285" s="684"/>
      <c r="S285" s="684"/>
      <c r="T285" s="684"/>
      <c r="U285" s="37"/>
      <c r="V285" s="684"/>
      <c r="W285" s="37"/>
      <c r="X285" s="684"/>
      <c r="Y285" s="37"/>
      <c r="Z285" s="684"/>
      <c r="AA285" s="897"/>
      <c r="AB285" s="870"/>
      <c r="AC285" s="684"/>
      <c r="AD285" s="684"/>
      <c r="AE285" s="684"/>
      <c r="AF285" s="684"/>
      <c r="AG285" s="684"/>
      <c r="AH285" s="807">
        <f t="shared" si="70"/>
        <v>0</v>
      </c>
      <c r="AI285" s="937"/>
      <c r="AJ285" s="42"/>
      <c r="AK285" s="494"/>
      <c r="AL285" s="764"/>
      <c r="AM285" s="769">
        <f t="shared" si="71"/>
        <v>0</v>
      </c>
      <c r="AN285" s="881"/>
      <c r="AO285" s="882"/>
      <c r="AP285" s="883"/>
      <c r="AQ285" s="883"/>
      <c r="AR285" s="883"/>
      <c r="AS285" s="883"/>
      <c r="AT285" s="883"/>
      <c r="AU285" s="883"/>
      <c r="AV285" s="883"/>
      <c r="AW285" s="883"/>
      <c r="AX285" s="883"/>
      <c r="AY285" s="883"/>
      <c r="AZ285" s="883"/>
      <c r="BA285" s="870">
        <f t="shared" si="72"/>
        <v>0</v>
      </c>
    </row>
    <row r="286" spans="1:53" ht="18.75" x14ac:dyDescent="0.3">
      <c r="A286" s="1031"/>
      <c r="B286" s="1081"/>
      <c r="C286" s="1033"/>
      <c r="D286" s="1034"/>
      <c r="E286" s="916"/>
      <c r="F286" s="916"/>
      <c r="G286" s="916"/>
      <c r="H286" s="916"/>
      <c r="I286" s="916"/>
      <c r="J286" s="916"/>
      <c r="K286" s="916"/>
      <c r="L286" s="916"/>
      <c r="M286" s="916"/>
      <c r="N286" s="888"/>
      <c r="O286" s="916"/>
      <c r="P286" s="888"/>
      <c r="Q286" s="916"/>
      <c r="R286" s="916"/>
      <c r="S286" s="916"/>
      <c r="T286" s="916"/>
      <c r="U286" s="888"/>
      <c r="V286" s="916"/>
      <c r="W286" s="888"/>
      <c r="X286" s="916"/>
      <c r="Y286" s="888"/>
      <c r="Z286" s="916"/>
      <c r="AA286" s="898"/>
      <c r="AB286" s="888"/>
      <c r="AC286" s="916"/>
      <c r="AD286" s="916"/>
      <c r="AE286" s="916"/>
      <c r="AF286" s="916"/>
      <c r="AG286" s="916"/>
      <c r="AH286" s="1049">
        <f t="shared" si="70"/>
        <v>0</v>
      </c>
      <c r="AI286" s="937"/>
      <c r="AJ286" s="42"/>
      <c r="AK286" s="494"/>
      <c r="AL286" s="764"/>
      <c r="AM286" s="769">
        <f t="shared" si="71"/>
        <v>0</v>
      </c>
      <c r="AN286" s="881"/>
      <c r="AO286" s="882"/>
      <c r="AP286" s="870"/>
      <c r="AQ286" s="870"/>
      <c r="AR286" s="870"/>
      <c r="AS286" s="870"/>
      <c r="AT286" s="870"/>
      <c r="AU286" s="870"/>
      <c r="AV286" s="870"/>
      <c r="AW286" s="870"/>
      <c r="AX286" s="870"/>
      <c r="AY286" s="870"/>
      <c r="AZ286" s="870"/>
      <c r="BA286" s="870">
        <f t="shared" si="72"/>
        <v>0</v>
      </c>
    </row>
    <row r="287" spans="1:53" ht="18.75" customHeight="1" x14ac:dyDescent="0.3">
      <c r="A287" s="742"/>
      <c r="B287" s="506"/>
      <c r="C287" s="482"/>
      <c r="D287" s="507" t="s">
        <v>249</v>
      </c>
      <c r="E287" s="156">
        <f t="shared" ref="E287:AG287" si="73">SUM(E266:E286)</f>
        <v>0</v>
      </c>
      <c r="F287" s="156">
        <f t="shared" si="73"/>
        <v>0</v>
      </c>
      <c r="G287" s="156">
        <f t="shared" si="73"/>
        <v>0</v>
      </c>
      <c r="H287" s="156">
        <f t="shared" si="73"/>
        <v>0</v>
      </c>
      <c r="I287" s="156">
        <f t="shared" si="73"/>
        <v>0</v>
      </c>
      <c r="J287" s="156">
        <f t="shared" si="73"/>
        <v>0</v>
      </c>
      <c r="K287" s="156">
        <f t="shared" si="73"/>
        <v>0</v>
      </c>
      <c r="L287" s="156">
        <f t="shared" si="73"/>
        <v>0</v>
      </c>
      <c r="M287" s="156">
        <f t="shared" si="73"/>
        <v>0</v>
      </c>
      <c r="N287" s="508">
        <f t="shared" si="73"/>
        <v>0</v>
      </c>
      <c r="O287" s="156">
        <f t="shared" si="73"/>
        <v>0</v>
      </c>
      <c r="P287" s="156">
        <f t="shared" si="73"/>
        <v>0</v>
      </c>
      <c r="Q287" s="156">
        <f t="shared" si="73"/>
        <v>0</v>
      </c>
      <c r="R287" s="156">
        <f t="shared" si="73"/>
        <v>0</v>
      </c>
      <c r="S287" s="156">
        <f t="shared" si="73"/>
        <v>0</v>
      </c>
      <c r="T287" s="156">
        <f t="shared" si="73"/>
        <v>0</v>
      </c>
      <c r="U287" s="156">
        <f t="shared" si="73"/>
        <v>0</v>
      </c>
      <c r="V287" s="156">
        <f t="shared" si="73"/>
        <v>0</v>
      </c>
      <c r="W287" s="156">
        <f t="shared" si="73"/>
        <v>0</v>
      </c>
      <c r="X287" s="156">
        <f t="shared" si="73"/>
        <v>0</v>
      </c>
      <c r="Y287" s="156">
        <f t="shared" si="73"/>
        <v>0</v>
      </c>
      <c r="Z287" s="156">
        <f t="shared" si="73"/>
        <v>0</v>
      </c>
      <c r="AA287" s="902">
        <f t="shared" si="73"/>
        <v>0</v>
      </c>
      <c r="AB287" s="508">
        <f t="shared" si="73"/>
        <v>0</v>
      </c>
      <c r="AC287" s="156">
        <f t="shared" si="73"/>
        <v>0</v>
      </c>
      <c r="AD287" s="156">
        <f t="shared" si="73"/>
        <v>0</v>
      </c>
      <c r="AE287" s="156">
        <f t="shared" si="73"/>
        <v>0</v>
      </c>
      <c r="AF287" s="156">
        <f t="shared" si="73"/>
        <v>0</v>
      </c>
      <c r="AG287" s="156">
        <f t="shared" si="73"/>
        <v>0</v>
      </c>
      <c r="AH287" s="786">
        <f t="shared" si="70"/>
        <v>0</v>
      </c>
      <c r="AI287" s="1082"/>
      <c r="AJ287" s="490"/>
      <c r="AK287" s="509"/>
      <c r="AL287" s="765"/>
      <c r="AM287" s="769"/>
      <c r="AN287" s="396"/>
      <c r="AO287" s="397"/>
      <c r="AP287" s="37"/>
      <c r="AQ287" s="491"/>
      <c r="AR287" s="491"/>
      <c r="AS287" s="491"/>
      <c r="AT287" s="491"/>
      <c r="AU287" s="491"/>
      <c r="AV287" s="491"/>
      <c r="AW287" s="491"/>
      <c r="AX287" s="491"/>
      <c r="AY287" s="491"/>
      <c r="AZ287" s="491"/>
      <c r="BA287" s="491"/>
    </row>
    <row r="288" spans="1:53" ht="18.75" customHeight="1" x14ac:dyDescent="0.3">
      <c r="A288" s="742"/>
      <c r="B288" s="506"/>
      <c r="C288" s="482"/>
      <c r="D288" s="507" t="s">
        <v>250</v>
      </c>
      <c r="E288" s="150">
        <f t="shared" ref="E288:AG288" si="74">SUM(E264+E287)</f>
        <v>88126.2</v>
      </c>
      <c r="F288" s="150">
        <f t="shared" si="74"/>
        <v>104149.33</v>
      </c>
      <c r="G288" s="150">
        <f t="shared" si="74"/>
        <v>6305</v>
      </c>
      <c r="H288" s="150">
        <f t="shared" si="74"/>
        <v>0</v>
      </c>
      <c r="I288" s="150">
        <f t="shared" si="74"/>
        <v>0</v>
      </c>
      <c r="J288" s="150">
        <f t="shared" si="74"/>
        <v>2600</v>
      </c>
      <c r="K288" s="150">
        <f t="shared" si="74"/>
        <v>0</v>
      </c>
      <c r="L288" s="150">
        <f t="shared" si="74"/>
        <v>54590</v>
      </c>
      <c r="M288" s="150">
        <f t="shared" si="74"/>
        <v>330000</v>
      </c>
      <c r="N288" s="510">
        <f t="shared" si="74"/>
        <v>23600</v>
      </c>
      <c r="O288" s="150">
        <f t="shared" si="74"/>
        <v>55717</v>
      </c>
      <c r="P288" s="150">
        <f t="shared" si="74"/>
        <v>87210</v>
      </c>
      <c r="Q288" s="150">
        <f t="shared" si="74"/>
        <v>0</v>
      </c>
      <c r="R288" s="150">
        <f t="shared" si="74"/>
        <v>0</v>
      </c>
      <c r="S288" s="150">
        <f t="shared" si="74"/>
        <v>0</v>
      </c>
      <c r="T288" s="150">
        <f t="shared" si="74"/>
        <v>214000</v>
      </c>
      <c r="U288" s="150">
        <f t="shared" si="74"/>
        <v>0</v>
      </c>
      <c r="V288" s="150">
        <f t="shared" si="74"/>
        <v>98000</v>
      </c>
      <c r="W288" s="150">
        <f t="shared" si="74"/>
        <v>1657002</v>
      </c>
      <c r="X288" s="150">
        <f t="shared" si="74"/>
        <v>1620000</v>
      </c>
      <c r="Y288" s="150">
        <f t="shared" si="74"/>
        <v>0</v>
      </c>
      <c r="Z288" s="150">
        <f t="shared" si="74"/>
        <v>99296</v>
      </c>
      <c r="AA288" s="903">
        <f t="shared" si="74"/>
        <v>152876.25</v>
      </c>
      <c r="AB288" s="510">
        <f t="shared" si="74"/>
        <v>350000</v>
      </c>
      <c r="AC288" s="150">
        <f t="shared" si="74"/>
        <v>364200</v>
      </c>
      <c r="AD288" s="150">
        <f t="shared" si="74"/>
        <v>0</v>
      </c>
      <c r="AE288" s="150">
        <f t="shared" si="74"/>
        <v>515869</v>
      </c>
      <c r="AF288" s="150">
        <f t="shared" si="74"/>
        <v>0</v>
      </c>
      <c r="AG288" s="150">
        <f t="shared" si="74"/>
        <v>0</v>
      </c>
      <c r="AH288" s="786">
        <f t="shared" si="70"/>
        <v>5823540.7800000003</v>
      </c>
      <c r="AI288" s="1082"/>
      <c r="AJ288" s="490"/>
      <c r="AK288" s="509"/>
      <c r="AL288" s="765"/>
      <c r="AM288" s="769"/>
      <c r="AN288" s="396"/>
      <c r="AO288" s="397"/>
      <c r="AP288" s="37"/>
      <c r="AQ288" s="55"/>
      <c r="AR288" s="55"/>
      <c r="AS288" s="55"/>
      <c r="AT288" s="55"/>
      <c r="AU288" s="55"/>
      <c r="AV288" s="55"/>
      <c r="AW288" s="55"/>
      <c r="AX288" s="55"/>
      <c r="AY288" s="55"/>
      <c r="AZ288" s="55"/>
      <c r="BA288" s="55"/>
    </row>
    <row r="289" spans="1:53" ht="18.75" customHeight="1" x14ac:dyDescent="0.3">
      <c r="A289" s="743"/>
      <c r="B289" s="511"/>
      <c r="C289" s="484"/>
      <c r="D289" s="512" t="s">
        <v>251</v>
      </c>
      <c r="E289" s="153">
        <f t="shared" ref="E289:AG289" si="75">SUM(E265-E287)</f>
        <v>655373.80000000005</v>
      </c>
      <c r="F289" s="153">
        <f t="shared" si="75"/>
        <v>195850.66999999998</v>
      </c>
      <c r="G289" s="153">
        <f t="shared" si="75"/>
        <v>26095</v>
      </c>
      <c r="H289" s="153">
        <f t="shared" si="75"/>
        <v>0</v>
      </c>
      <c r="I289" s="153">
        <f t="shared" si="75"/>
        <v>0</v>
      </c>
      <c r="J289" s="153">
        <f t="shared" si="75"/>
        <v>-2600</v>
      </c>
      <c r="K289" s="153">
        <f t="shared" si="75"/>
        <v>0</v>
      </c>
      <c r="L289" s="153">
        <f t="shared" si="75"/>
        <v>93310</v>
      </c>
      <c r="M289" s="153">
        <f t="shared" si="75"/>
        <v>-376700</v>
      </c>
      <c r="N289" s="513">
        <f t="shared" si="75"/>
        <v>-23600</v>
      </c>
      <c r="O289" s="153">
        <f t="shared" si="75"/>
        <v>594283</v>
      </c>
      <c r="P289" s="153">
        <f t="shared" si="75"/>
        <v>79490</v>
      </c>
      <c r="Q289" s="153">
        <f t="shared" si="75"/>
        <v>1573400</v>
      </c>
      <c r="R289" s="153">
        <f t="shared" si="75"/>
        <v>0</v>
      </c>
      <c r="S289" s="153">
        <f t="shared" si="75"/>
        <v>0</v>
      </c>
      <c r="T289" s="153">
        <f t="shared" si="75"/>
        <v>100000</v>
      </c>
      <c r="U289" s="153">
        <f t="shared" si="75"/>
        <v>488945</v>
      </c>
      <c r="V289" s="153">
        <f t="shared" si="75"/>
        <v>76900</v>
      </c>
      <c r="W289" s="153">
        <f t="shared" si="75"/>
        <v>-363343</v>
      </c>
      <c r="X289" s="153">
        <f t="shared" si="75"/>
        <v>-15200</v>
      </c>
      <c r="Y289" s="153">
        <f t="shared" si="75"/>
        <v>289600</v>
      </c>
      <c r="Z289" s="153">
        <f t="shared" si="75"/>
        <v>100000</v>
      </c>
      <c r="AA289" s="904">
        <f t="shared" si="75"/>
        <v>107123.75</v>
      </c>
      <c r="AB289" s="513">
        <f t="shared" si="75"/>
        <v>-75200</v>
      </c>
      <c r="AC289" s="153">
        <f t="shared" si="75"/>
        <v>-166200</v>
      </c>
      <c r="AD289" s="153">
        <f t="shared" si="75"/>
        <v>0</v>
      </c>
      <c r="AE289" s="153">
        <f t="shared" si="75"/>
        <v>7984131</v>
      </c>
      <c r="AF289" s="153">
        <f t="shared" si="75"/>
        <v>716400</v>
      </c>
      <c r="AG289" s="153">
        <f t="shared" si="75"/>
        <v>1113800</v>
      </c>
      <c r="AH289" s="787">
        <f t="shared" si="70"/>
        <v>13171859.219999999</v>
      </c>
      <c r="AI289" s="1082"/>
      <c r="AJ289" s="490"/>
      <c r="AK289" s="509"/>
      <c r="AL289" s="765"/>
      <c r="AM289" s="769"/>
      <c r="AN289" s="396"/>
      <c r="AO289" s="397"/>
      <c r="AP289" s="37"/>
      <c r="AQ289" s="55"/>
      <c r="AR289" s="55"/>
      <c r="AS289" s="55"/>
      <c r="AT289" s="55"/>
      <c r="AU289" s="55"/>
      <c r="AV289" s="55"/>
      <c r="AW289" s="55"/>
      <c r="AX289" s="55"/>
      <c r="AY289" s="55"/>
      <c r="AZ289" s="55"/>
      <c r="BA289" s="55"/>
    </row>
    <row r="290" spans="1:53" ht="18.75" customHeight="1" x14ac:dyDescent="0.3">
      <c r="A290" s="1035" t="s">
        <v>252</v>
      </c>
      <c r="B290" s="171"/>
      <c r="C290" s="955"/>
      <c r="D290" s="41"/>
      <c r="E290" s="684"/>
      <c r="F290" s="684"/>
      <c r="G290" s="684"/>
      <c r="H290" s="684"/>
      <c r="I290" s="684"/>
      <c r="J290" s="966"/>
      <c r="K290" s="966"/>
      <c r="L290" s="966"/>
      <c r="M290" s="684"/>
      <c r="N290" s="37"/>
      <c r="O290" s="684"/>
      <c r="P290" s="37"/>
      <c r="Q290" s="684"/>
      <c r="R290" s="684"/>
      <c r="S290" s="684"/>
      <c r="T290" s="684"/>
      <c r="U290" s="37"/>
      <c r="V290" s="684"/>
      <c r="W290" s="37"/>
      <c r="X290" s="684"/>
      <c r="Y290" s="37"/>
      <c r="Z290" s="684"/>
      <c r="AA290" s="897"/>
      <c r="AB290" s="870"/>
      <c r="AC290" s="684"/>
      <c r="AD290" s="684"/>
      <c r="AE290" s="684"/>
      <c r="AF290" s="684"/>
      <c r="AG290" s="684"/>
      <c r="AH290" s="1036"/>
      <c r="AI290" s="937"/>
      <c r="AJ290" s="42"/>
      <c r="AK290" s="494"/>
      <c r="AL290" s="764"/>
      <c r="AM290" s="769"/>
      <c r="AN290" s="481"/>
      <c r="AO290" s="395"/>
      <c r="AP290" s="37"/>
      <c r="AQ290" s="37"/>
      <c r="AR290" s="37"/>
      <c r="AS290" s="476"/>
      <c r="AT290" s="476"/>
      <c r="AU290" s="476"/>
      <c r="AV290" s="476"/>
      <c r="AW290" s="476"/>
      <c r="AX290" s="476"/>
      <c r="AY290" s="476"/>
      <c r="AZ290" s="476"/>
      <c r="BA290" s="476"/>
    </row>
    <row r="291" spans="1:53" ht="18.75" x14ac:dyDescent="0.3">
      <c r="A291" s="957"/>
      <c r="B291" s="171"/>
      <c r="C291" s="955"/>
      <c r="D291" s="34"/>
      <c r="E291" s="684"/>
      <c r="F291" s="684"/>
      <c r="G291" s="684"/>
      <c r="H291" s="684"/>
      <c r="I291" s="684"/>
      <c r="J291" s="684"/>
      <c r="K291" s="684"/>
      <c r="L291" s="684"/>
      <c r="M291" s="684"/>
      <c r="N291" s="37"/>
      <c r="O291" s="684"/>
      <c r="P291" s="37"/>
      <c r="Q291" s="684"/>
      <c r="R291" s="684"/>
      <c r="S291" s="684"/>
      <c r="T291" s="684"/>
      <c r="U291" s="37"/>
      <c r="V291" s="684"/>
      <c r="W291" s="37"/>
      <c r="X291" s="684"/>
      <c r="Y291" s="37"/>
      <c r="Z291" s="684"/>
      <c r="AA291" s="897"/>
      <c r="AB291" s="870"/>
      <c r="AC291" s="684"/>
      <c r="AD291" s="684"/>
      <c r="AE291" s="684"/>
      <c r="AF291" s="684"/>
      <c r="AG291" s="684"/>
      <c r="AH291" s="807">
        <f t="shared" ref="AH291:AH313" si="76">SUM(E291:AG291)</f>
        <v>0</v>
      </c>
      <c r="AI291" s="937"/>
      <c r="AJ291" s="42"/>
      <c r="AK291" s="494"/>
      <c r="AL291" s="764"/>
      <c r="AM291" s="769">
        <f>AH291-AK291-AL291</f>
        <v>0</v>
      </c>
      <c r="AN291" s="881"/>
      <c r="AO291" s="882"/>
      <c r="AP291" s="870"/>
      <c r="AQ291" s="870"/>
      <c r="AR291" s="870"/>
      <c r="AS291" s="870"/>
      <c r="AT291" s="870"/>
      <c r="AU291" s="870"/>
      <c r="AV291" s="870"/>
      <c r="AW291" s="870"/>
      <c r="AX291" s="870"/>
      <c r="AY291" s="870"/>
      <c r="AZ291" s="870"/>
      <c r="BA291" s="870">
        <f>SUM(AO291:AZ291)</f>
        <v>0</v>
      </c>
    </row>
    <row r="292" spans="1:53" ht="18.75" x14ac:dyDescent="0.3">
      <c r="A292" s="957"/>
      <c r="B292" s="171"/>
      <c r="C292" s="955"/>
      <c r="D292" s="34"/>
      <c r="E292" s="684"/>
      <c r="F292" s="684"/>
      <c r="G292" s="684"/>
      <c r="H292" s="684"/>
      <c r="I292" s="684"/>
      <c r="J292" s="684"/>
      <c r="K292" s="684"/>
      <c r="L292" s="684"/>
      <c r="M292" s="684"/>
      <c r="N292" s="37"/>
      <c r="O292" s="684"/>
      <c r="P292" s="37"/>
      <c r="Q292" s="684"/>
      <c r="R292" s="684"/>
      <c r="S292" s="684"/>
      <c r="T292" s="684"/>
      <c r="U292" s="37"/>
      <c r="V292" s="684"/>
      <c r="W292" s="37"/>
      <c r="X292" s="684"/>
      <c r="Y292" s="37"/>
      <c r="Z292" s="684"/>
      <c r="AA292" s="897"/>
      <c r="AB292" s="870"/>
      <c r="AC292" s="684"/>
      <c r="AD292" s="684"/>
      <c r="AE292" s="684"/>
      <c r="AF292" s="684"/>
      <c r="AG292" s="684"/>
      <c r="AH292" s="807">
        <f t="shared" si="76"/>
        <v>0</v>
      </c>
      <c r="AI292" s="937"/>
      <c r="AJ292" s="42"/>
      <c r="AK292" s="494"/>
      <c r="AL292" s="764"/>
      <c r="AM292" s="769">
        <f t="shared" ref="AM292:AM310" si="77">AH292-AK292-AL292</f>
        <v>0</v>
      </c>
      <c r="AN292" s="881"/>
      <c r="AO292" s="882"/>
      <c r="AP292" s="870"/>
      <c r="AQ292" s="870"/>
      <c r="AR292" s="870"/>
      <c r="AS292" s="870"/>
      <c r="AT292" s="870"/>
      <c r="AU292" s="870"/>
      <c r="AV292" s="870"/>
      <c r="AW292" s="870"/>
      <c r="AX292" s="870"/>
      <c r="AY292" s="870"/>
      <c r="AZ292" s="870"/>
      <c r="BA292" s="870">
        <f t="shared" ref="BA292:BA310" si="78">SUM(AO292:AZ292)</f>
        <v>0</v>
      </c>
    </row>
    <row r="293" spans="1:53" ht="18.75" x14ac:dyDescent="0.3">
      <c r="A293" s="957"/>
      <c r="B293" s="171"/>
      <c r="C293" s="955"/>
      <c r="D293" s="34"/>
      <c r="E293" s="684"/>
      <c r="F293" s="684"/>
      <c r="G293" s="684"/>
      <c r="H293" s="684"/>
      <c r="I293" s="684"/>
      <c r="J293" s="684"/>
      <c r="K293" s="684"/>
      <c r="L293" s="684"/>
      <c r="M293" s="684"/>
      <c r="N293" s="37"/>
      <c r="O293" s="684"/>
      <c r="P293" s="37"/>
      <c r="Q293" s="684"/>
      <c r="R293" s="684"/>
      <c r="S293" s="684"/>
      <c r="T293" s="684"/>
      <c r="U293" s="37"/>
      <c r="V293" s="684"/>
      <c r="W293" s="37"/>
      <c r="X293" s="684"/>
      <c r="Y293" s="37"/>
      <c r="Z293" s="684"/>
      <c r="AA293" s="897"/>
      <c r="AB293" s="870"/>
      <c r="AC293" s="684"/>
      <c r="AD293" s="684"/>
      <c r="AE293" s="684"/>
      <c r="AF293" s="684"/>
      <c r="AG293" s="684"/>
      <c r="AH293" s="807">
        <f t="shared" si="76"/>
        <v>0</v>
      </c>
      <c r="AI293" s="937"/>
      <c r="AJ293" s="65"/>
      <c r="AK293" s="494"/>
      <c r="AL293" s="764"/>
      <c r="AM293" s="769">
        <f t="shared" si="77"/>
        <v>0</v>
      </c>
      <c r="AN293" s="881"/>
      <c r="AO293" s="882"/>
      <c r="AP293" s="870"/>
      <c r="AQ293" s="870"/>
      <c r="AR293" s="870"/>
      <c r="AS293" s="870"/>
      <c r="AT293" s="870"/>
      <c r="AU293" s="870"/>
      <c r="AV293" s="870"/>
      <c r="AW293" s="870"/>
      <c r="AX293" s="870"/>
      <c r="AY293" s="870"/>
      <c r="AZ293" s="870"/>
      <c r="BA293" s="870">
        <f t="shared" si="78"/>
        <v>0</v>
      </c>
    </row>
    <row r="294" spans="1:53" ht="18.75" x14ac:dyDescent="0.3">
      <c r="A294" s="957"/>
      <c r="B294" s="871"/>
      <c r="C294" s="840"/>
      <c r="D294" s="34"/>
      <c r="E294" s="684"/>
      <c r="F294" s="684"/>
      <c r="G294" s="684"/>
      <c r="H294" s="684"/>
      <c r="I294" s="684"/>
      <c r="J294" s="684"/>
      <c r="K294" s="684"/>
      <c r="L294" s="684"/>
      <c r="M294" s="684"/>
      <c r="N294" s="37"/>
      <c r="O294" s="684"/>
      <c r="P294" s="37"/>
      <c r="Q294" s="684"/>
      <c r="R294" s="684"/>
      <c r="S294" s="684"/>
      <c r="T294" s="684"/>
      <c r="U294" s="37"/>
      <c r="V294" s="684"/>
      <c r="W294" s="37"/>
      <c r="X294" s="684"/>
      <c r="Y294" s="37"/>
      <c r="Z294" s="684"/>
      <c r="AA294" s="897"/>
      <c r="AB294" s="870"/>
      <c r="AC294" s="684"/>
      <c r="AD294" s="684"/>
      <c r="AE294" s="684"/>
      <c r="AF294" s="684"/>
      <c r="AG294" s="684"/>
      <c r="AH294" s="807">
        <f t="shared" si="76"/>
        <v>0</v>
      </c>
      <c r="AI294" s="940"/>
      <c r="AJ294" s="874"/>
      <c r="AK294" s="875"/>
      <c r="AL294" s="764"/>
      <c r="AM294" s="769">
        <f t="shared" si="77"/>
        <v>0</v>
      </c>
      <c r="AN294" s="881"/>
      <c r="AO294" s="882"/>
      <c r="AP294" s="870"/>
      <c r="AQ294" s="870"/>
      <c r="AR294" s="870"/>
      <c r="AS294" s="870"/>
      <c r="AT294" s="870"/>
      <c r="AU294" s="870"/>
      <c r="AV294" s="870"/>
      <c r="AW294" s="870"/>
      <c r="AX294" s="870"/>
      <c r="AY294" s="870"/>
      <c r="AZ294" s="870"/>
      <c r="BA294" s="870">
        <f t="shared" si="78"/>
        <v>0</v>
      </c>
    </row>
    <row r="295" spans="1:53" ht="18.75" x14ac:dyDescent="0.3">
      <c r="A295" s="957"/>
      <c r="B295" s="871"/>
      <c r="C295" s="955"/>
      <c r="D295" s="34"/>
      <c r="E295" s="684"/>
      <c r="F295" s="684"/>
      <c r="G295" s="684"/>
      <c r="H295" s="684"/>
      <c r="I295" s="684"/>
      <c r="J295" s="684"/>
      <c r="K295" s="684"/>
      <c r="L295" s="684"/>
      <c r="M295" s="684"/>
      <c r="N295" s="37"/>
      <c r="O295" s="684"/>
      <c r="P295" s="37"/>
      <c r="Q295" s="684"/>
      <c r="R295" s="684"/>
      <c r="S295" s="684"/>
      <c r="T295" s="684"/>
      <c r="U295" s="37"/>
      <c r="V295" s="684"/>
      <c r="W295" s="37"/>
      <c r="X295" s="684"/>
      <c r="Y295" s="37"/>
      <c r="Z295" s="684"/>
      <c r="AA295" s="897"/>
      <c r="AB295" s="870"/>
      <c r="AC295" s="684"/>
      <c r="AD295" s="684"/>
      <c r="AE295" s="684"/>
      <c r="AF295" s="684"/>
      <c r="AG295" s="684"/>
      <c r="AH295" s="807">
        <f t="shared" si="76"/>
        <v>0</v>
      </c>
      <c r="AI295" s="940"/>
      <c r="AJ295" s="874"/>
      <c r="AK295" s="494"/>
      <c r="AL295" s="764"/>
      <c r="AM295" s="769">
        <f t="shared" si="77"/>
        <v>0</v>
      </c>
      <c r="AN295" s="881"/>
      <c r="AO295" s="882"/>
      <c r="AP295" s="870"/>
      <c r="AQ295" s="886"/>
      <c r="AR295" s="870"/>
      <c r="AS295" s="870"/>
      <c r="AT295" s="870"/>
      <c r="AU295" s="870"/>
      <c r="AV295" s="870"/>
      <c r="AW295" s="870"/>
      <c r="AX295" s="870"/>
      <c r="AY295" s="870"/>
      <c r="AZ295" s="870"/>
      <c r="BA295" s="870">
        <f t="shared" si="78"/>
        <v>0</v>
      </c>
    </row>
    <row r="296" spans="1:53" ht="18.75" x14ac:dyDescent="0.3">
      <c r="A296" s="957"/>
      <c r="B296" s="871"/>
      <c r="C296" s="955"/>
      <c r="D296" s="34"/>
      <c r="E296" s="684"/>
      <c r="F296" s="684"/>
      <c r="G296" s="684"/>
      <c r="H296" s="684"/>
      <c r="I296" s="684"/>
      <c r="J296" s="684"/>
      <c r="K296" s="684"/>
      <c r="L296" s="684"/>
      <c r="M296" s="684"/>
      <c r="N296" s="37"/>
      <c r="O296" s="684"/>
      <c r="P296" s="37"/>
      <c r="Q296" s="684"/>
      <c r="R296" s="684"/>
      <c r="S296" s="684"/>
      <c r="T296" s="684"/>
      <c r="U296" s="37"/>
      <c r="V296" s="684"/>
      <c r="W296" s="37"/>
      <c r="X296" s="684"/>
      <c r="Y296" s="37"/>
      <c r="Z296" s="684"/>
      <c r="AA296" s="897"/>
      <c r="AB296" s="870"/>
      <c r="AC296" s="684"/>
      <c r="AD296" s="684"/>
      <c r="AE296" s="684"/>
      <c r="AF296" s="684"/>
      <c r="AG296" s="684"/>
      <c r="AH296" s="807">
        <f t="shared" si="76"/>
        <v>0</v>
      </c>
      <c r="AI296" s="940"/>
      <c r="AJ296" s="874"/>
      <c r="AK296" s="494"/>
      <c r="AL296" s="764"/>
      <c r="AM296" s="769">
        <f t="shared" si="77"/>
        <v>0</v>
      </c>
      <c r="AN296" s="881"/>
      <c r="AO296" s="882"/>
      <c r="AP296" s="870"/>
      <c r="AQ296" s="870"/>
      <c r="AR296" s="870"/>
      <c r="AS296" s="870"/>
      <c r="AT296" s="870"/>
      <c r="AU296" s="870"/>
      <c r="AV296" s="870"/>
      <c r="AW296" s="870"/>
      <c r="AX296" s="870"/>
      <c r="AY296" s="870"/>
      <c r="AZ296" s="870"/>
      <c r="BA296" s="870">
        <f t="shared" si="78"/>
        <v>0</v>
      </c>
    </row>
    <row r="297" spans="1:53" ht="18.75" x14ac:dyDescent="0.3">
      <c r="A297" s="957"/>
      <c r="B297" s="871"/>
      <c r="C297" s="955"/>
      <c r="D297" s="34"/>
      <c r="E297" s="684"/>
      <c r="F297" s="684"/>
      <c r="G297" s="684"/>
      <c r="H297" s="684"/>
      <c r="I297" s="684"/>
      <c r="J297" s="684"/>
      <c r="K297" s="684"/>
      <c r="L297" s="684"/>
      <c r="M297" s="684"/>
      <c r="N297" s="37"/>
      <c r="O297" s="684"/>
      <c r="P297" s="37"/>
      <c r="Q297" s="684"/>
      <c r="R297" s="684"/>
      <c r="S297" s="684"/>
      <c r="T297" s="684"/>
      <c r="U297" s="37"/>
      <c r="V297" s="684"/>
      <c r="W297" s="37"/>
      <c r="X297" s="684"/>
      <c r="Y297" s="37"/>
      <c r="Z297" s="684"/>
      <c r="AA297" s="897"/>
      <c r="AB297" s="870"/>
      <c r="AC297" s="684"/>
      <c r="AD297" s="684"/>
      <c r="AE297" s="684"/>
      <c r="AF297" s="684"/>
      <c r="AG297" s="684"/>
      <c r="AH297" s="807">
        <f t="shared" si="76"/>
        <v>0</v>
      </c>
      <c r="AI297" s="937"/>
      <c r="AJ297" s="876"/>
      <c r="AK297" s="494"/>
      <c r="AL297" s="764"/>
      <c r="AM297" s="769">
        <f t="shared" si="77"/>
        <v>0</v>
      </c>
      <c r="AN297" s="881"/>
      <c r="AO297" s="882"/>
      <c r="AP297" s="870"/>
      <c r="AQ297" s="870"/>
      <c r="AR297" s="870"/>
      <c r="AS297" s="870"/>
      <c r="AT297" s="870"/>
      <c r="AU297" s="870"/>
      <c r="AV297" s="870"/>
      <c r="AW297" s="870"/>
      <c r="AX297" s="870"/>
      <c r="AY297" s="870"/>
      <c r="AZ297" s="870"/>
      <c r="BA297" s="870">
        <f t="shared" si="78"/>
        <v>0</v>
      </c>
    </row>
    <row r="298" spans="1:53" ht="18.75" x14ac:dyDescent="0.3">
      <c r="A298" s="957"/>
      <c r="B298" s="871"/>
      <c r="C298" s="955"/>
      <c r="D298" s="34"/>
      <c r="E298" s="684"/>
      <c r="F298" s="684"/>
      <c r="G298" s="684"/>
      <c r="H298" s="684"/>
      <c r="I298" s="684"/>
      <c r="J298" s="684"/>
      <c r="K298" s="684"/>
      <c r="L298" s="684"/>
      <c r="M298" s="684"/>
      <c r="N298" s="37"/>
      <c r="O298" s="684"/>
      <c r="P298" s="37"/>
      <c r="Q298" s="684"/>
      <c r="R298" s="684"/>
      <c r="S298" s="684"/>
      <c r="T298" s="684"/>
      <c r="U298" s="37"/>
      <c r="V298" s="684"/>
      <c r="W298" s="37"/>
      <c r="X298" s="684"/>
      <c r="Y298" s="37"/>
      <c r="Z298" s="684"/>
      <c r="AA298" s="897"/>
      <c r="AB298" s="870"/>
      <c r="AC298" s="684"/>
      <c r="AD298" s="684"/>
      <c r="AE298" s="684"/>
      <c r="AF298" s="684"/>
      <c r="AG298" s="684"/>
      <c r="AH298" s="1036">
        <f t="shared" si="76"/>
        <v>0</v>
      </c>
      <c r="AI298" s="940"/>
      <c r="AJ298" s="874"/>
      <c r="AK298" s="494"/>
      <c r="AL298" s="764"/>
      <c r="AM298" s="769">
        <f t="shared" si="77"/>
        <v>0</v>
      </c>
      <c r="AN298" s="881"/>
      <c r="AO298" s="882"/>
      <c r="AP298" s="870"/>
      <c r="AQ298" s="870"/>
      <c r="AR298" s="870"/>
      <c r="AS298" s="870"/>
      <c r="AT298" s="870"/>
      <c r="AU298" s="870"/>
      <c r="AV298" s="870"/>
      <c r="AW298" s="870"/>
      <c r="AX298" s="870"/>
      <c r="AY298" s="870"/>
      <c r="AZ298" s="870"/>
      <c r="BA298" s="870">
        <f t="shared" si="78"/>
        <v>0</v>
      </c>
    </row>
    <row r="299" spans="1:53" ht="18.75" x14ac:dyDescent="0.3">
      <c r="A299" s="957"/>
      <c r="B299" s="871"/>
      <c r="C299" s="955"/>
      <c r="D299" s="34"/>
      <c r="E299" s="684"/>
      <c r="F299" s="684"/>
      <c r="G299" s="684"/>
      <c r="H299" s="684"/>
      <c r="I299" s="684"/>
      <c r="J299" s="684"/>
      <c r="K299" s="684"/>
      <c r="L299" s="684"/>
      <c r="M299" s="684"/>
      <c r="N299" s="37"/>
      <c r="O299" s="684"/>
      <c r="P299" s="37"/>
      <c r="Q299" s="684"/>
      <c r="R299" s="684"/>
      <c r="S299" s="684"/>
      <c r="T299" s="684"/>
      <c r="U299" s="37"/>
      <c r="V299" s="684"/>
      <c r="W299" s="37"/>
      <c r="X299" s="684"/>
      <c r="Y299" s="37"/>
      <c r="Z299" s="684"/>
      <c r="AA299" s="897"/>
      <c r="AB299" s="870"/>
      <c r="AC299" s="684"/>
      <c r="AD299" s="684"/>
      <c r="AE299" s="684"/>
      <c r="AF299" s="684"/>
      <c r="AG299" s="684"/>
      <c r="AH299" s="807">
        <f t="shared" si="76"/>
        <v>0</v>
      </c>
      <c r="AI299" s="940"/>
      <c r="AJ299" s="874"/>
      <c r="AK299" s="494"/>
      <c r="AL299" s="764"/>
      <c r="AM299" s="769">
        <f t="shared" si="77"/>
        <v>0</v>
      </c>
      <c r="AN299" s="881"/>
      <c r="AO299" s="886"/>
      <c r="AP299" s="886"/>
      <c r="AQ299" s="870"/>
      <c r="AR299" s="870"/>
      <c r="AS299" s="870"/>
      <c r="AT299" s="870"/>
      <c r="AU299" s="870"/>
      <c r="AV299" s="870"/>
      <c r="AW299" s="870"/>
      <c r="AX299" s="870"/>
      <c r="AY299" s="870"/>
      <c r="AZ299" s="870"/>
      <c r="BA299" s="870">
        <f t="shared" si="78"/>
        <v>0</v>
      </c>
    </row>
    <row r="300" spans="1:53" ht="18.75" x14ac:dyDescent="0.3">
      <c r="A300" s="1079"/>
      <c r="B300" s="171"/>
      <c r="C300" s="955"/>
      <c r="D300" s="34"/>
      <c r="E300" s="684"/>
      <c r="F300" s="684"/>
      <c r="G300" s="684"/>
      <c r="H300" s="684"/>
      <c r="I300" s="684"/>
      <c r="J300" s="684"/>
      <c r="K300" s="684"/>
      <c r="L300" s="684"/>
      <c r="M300" s="684"/>
      <c r="N300" s="37"/>
      <c r="O300" s="684"/>
      <c r="P300" s="37"/>
      <c r="Q300" s="684"/>
      <c r="R300" s="684"/>
      <c r="S300" s="684"/>
      <c r="T300" s="684"/>
      <c r="U300" s="37"/>
      <c r="V300" s="684"/>
      <c r="W300" s="37"/>
      <c r="X300" s="684"/>
      <c r="Y300" s="37"/>
      <c r="Z300" s="684"/>
      <c r="AA300" s="897"/>
      <c r="AB300" s="870"/>
      <c r="AC300" s="684"/>
      <c r="AD300" s="684"/>
      <c r="AE300" s="684"/>
      <c r="AF300" s="684"/>
      <c r="AG300" s="684"/>
      <c r="AH300" s="807">
        <f t="shared" si="76"/>
        <v>0</v>
      </c>
      <c r="AI300" s="937"/>
      <c r="AJ300" s="42"/>
      <c r="AK300" s="494"/>
      <c r="AL300" s="764"/>
      <c r="AM300" s="769">
        <f t="shared" si="77"/>
        <v>0</v>
      </c>
      <c r="AN300" s="881"/>
      <c r="AO300" s="882"/>
      <c r="AP300" s="883"/>
      <c r="AQ300" s="883"/>
      <c r="AR300" s="883"/>
      <c r="AS300" s="883"/>
      <c r="AT300" s="883"/>
      <c r="AU300" s="883"/>
      <c r="AV300" s="883"/>
      <c r="AW300" s="883"/>
      <c r="AX300" s="883"/>
      <c r="AY300" s="883"/>
      <c r="AZ300" s="883"/>
      <c r="BA300" s="870">
        <f t="shared" si="78"/>
        <v>0</v>
      </c>
    </row>
    <row r="301" spans="1:53" ht="18.75" x14ac:dyDescent="0.3">
      <c r="A301" s="1079"/>
      <c r="B301" s="171"/>
      <c r="C301" s="955"/>
      <c r="D301" s="41"/>
      <c r="E301" s="684"/>
      <c r="F301" s="684"/>
      <c r="G301" s="684"/>
      <c r="H301" s="684"/>
      <c r="I301" s="684"/>
      <c r="J301" s="684"/>
      <c r="K301" s="684"/>
      <c r="L301" s="684"/>
      <c r="M301" s="684"/>
      <c r="N301" s="37"/>
      <c r="O301" s="684"/>
      <c r="P301" s="37"/>
      <c r="Q301" s="684"/>
      <c r="R301" s="684"/>
      <c r="S301" s="684"/>
      <c r="T301" s="684"/>
      <c r="U301" s="37"/>
      <c r="V301" s="684"/>
      <c r="W301" s="37"/>
      <c r="X301" s="684"/>
      <c r="Y301" s="37"/>
      <c r="Z301" s="684"/>
      <c r="AA301" s="897"/>
      <c r="AB301" s="870"/>
      <c r="AC301" s="684"/>
      <c r="AD301" s="684"/>
      <c r="AE301" s="684"/>
      <c r="AF301" s="684"/>
      <c r="AG301" s="684"/>
      <c r="AH301" s="807">
        <f t="shared" si="76"/>
        <v>0</v>
      </c>
      <c r="AI301" s="937"/>
      <c r="AJ301" s="42"/>
      <c r="AK301" s="494"/>
      <c r="AL301" s="764"/>
      <c r="AM301" s="769">
        <f t="shared" si="77"/>
        <v>0</v>
      </c>
      <c r="AN301" s="881"/>
      <c r="AO301" s="882"/>
      <c r="AP301" s="883"/>
      <c r="AQ301" s="883"/>
      <c r="AR301" s="883"/>
      <c r="AS301" s="883"/>
      <c r="AT301" s="883"/>
      <c r="AU301" s="883"/>
      <c r="AV301" s="883"/>
      <c r="AW301" s="883"/>
      <c r="AX301" s="883"/>
      <c r="AY301" s="883"/>
      <c r="AZ301" s="883"/>
      <c r="BA301" s="870">
        <f t="shared" si="78"/>
        <v>0</v>
      </c>
    </row>
    <row r="302" spans="1:53" ht="18.75" x14ac:dyDescent="0.3">
      <c r="A302" s="1079"/>
      <c r="B302" s="171"/>
      <c r="C302" s="955"/>
      <c r="D302" s="34"/>
      <c r="E302" s="684"/>
      <c r="F302" s="684"/>
      <c r="G302" s="684"/>
      <c r="H302" s="684"/>
      <c r="I302" s="684"/>
      <c r="J302" s="684"/>
      <c r="K302" s="684"/>
      <c r="L302" s="684"/>
      <c r="M302" s="684"/>
      <c r="N302" s="37"/>
      <c r="O302" s="684"/>
      <c r="P302" s="37"/>
      <c r="Q302" s="684"/>
      <c r="R302" s="684"/>
      <c r="S302" s="684"/>
      <c r="T302" s="684"/>
      <c r="U302" s="37"/>
      <c r="V302" s="684"/>
      <c r="W302" s="37"/>
      <c r="X302" s="684"/>
      <c r="Y302" s="37"/>
      <c r="Z302" s="684"/>
      <c r="AA302" s="897"/>
      <c r="AB302" s="870"/>
      <c r="AC302" s="684"/>
      <c r="AD302" s="684"/>
      <c r="AE302" s="684"/>
      <c r="AF302" s="684"/>
      <c r="AG302" s="684"/>
      <c r="AH302" s="807">
        <f t="shared" si="76"/>
        <v>0</v>
      </c>
      <c r="AI302" s="937"/>
      <c r="AJ302" s="42"/>
      <c r="AK302" s="494"/>
      <c r="AL302" s="764"/>
      <c r="AM302" s="769">
        <f t="shared" si="77"/>
        <v>0</v>
      </c>
      <c r="AN302" s="881"/>
      <c r="AO302" s="882"/>
      <c r="AP302" s="883"/>
      <c r="AQ302" s="883"/>
      <c r="AR302" s="883"/>
      <c r="AS302" s="883"/>
      <c r="AT302" s="883"/>
      <c r="AU302" s="883"/>
      <c r="AV302" s="883"/>
      <c r="AW302" s="883"/>
      <c r="AX302" s="883"/>
      <c r="AY302" s="883"/>
      <c r="AZ302" s="883"/>
      <c r="BA302" s="870">
        <f t="shared" si="78"/>
        <v>0</v>
      </c>
    </row>
    <row r="303" spans="1:53" ht="18.75" x14ac:dyDescent="0.3">
      <c r="A303" s="1079"/>
      <c r="B303" s="171"/>
      <c r="C303" s="955"/>
      <c r="D303" s="34"/>
      <c r="E303" s="684"/>
      <c r="F303" s="684"/>
      <c r="G303" s="684"/>
      <c r="H303" s="684"/>
      <c r="I303" s="684"/>
      <c r="J303" s="684"/>
      <c r="K303" s="684"/>
      <c r="L303" s="684"/>
      <c r="M303" s="684"/>
      <c r="N303" s="37"/>
      <c r="O303" s="684"/>
      <c r="P303" s="37"/>
      <c r="Q303" s="684"/>
      <c r="R303" s="684"/>
      <c r="S303" s="684"/>
      <c r="T303" s="684"/>
      <c r="U303" s="37"/>
      <c r="V303" s="684"/>
      <c r="W303" s="37"/>
      <c r="X303" s="684"/>
      <c r="Y303" s="37"/>
      <c r="Z303" s="684"/>
      <c r="AA303" s="897"/>
      <c r="AB303" s="870"/>
      <c r="AC303" s="684"/>
      <c r="AD303" s="684"/>
      <c r="AE303" s="684"/>
      <c r="AF303" s="684"/>
      <c r="AG303" s="684"/>
      <c r="AH303" s="807">
        <f t="shared" si="76"/>
        <v>0</v>
      </c>
      <c r="AI303" s="937"/>
      <c r="AJ303" s="42"/>
      <c r="AK303" s="494"/>
      <c r="AL303" s="764"/>
      <c r="AM303" s="769">
        <f t="shared" si="77"/>
        <v>0</v>
      </c>
      <c r="AN303" s="881"/>
      <c r="AO303" s="882"/>
      <c r="AP303" s="883"/>
      <c r="AQ303" s="883"/>
      <c r="AR303" s="883"/>
      <c r="AS303" s="883"/>
      <c r="AT303" s="883"/>
      <c r="AU303" s="883"/>
      <c r="AV303" s="883"/>
      <c r="AW303" s="883"/>
      <c r="AX303" s="883"/>
      <c r="AY303" s="883"/>
      <c r="AZ303" s="883"/>
      <c r="BA303" s="870">
        <f t="shared" si="78"/>
        <v>0</v>
      </c>
    </row>
    <row r="304" spans="1:53" ht="18.75" x14ac:dyDescent="0.3">
      <c r="A304" s="1079"/>
      <c r="B304" s="171"/>
      <c r="C304" s="955"/>
      <c r="D304" s="34"/>
      <c r="E304" s="684"/>
      <c r="F304" s="684"/>
      <c r="G304" s="684"/>
      <c r="H304" s="684"/>
      <c r="I304" s="684"/>
      <c r="J304" s="684"/>
      <c r="K304" s="684"/>
      <c r="L304" s="684"/>
      <c r="M304" s="684"/>
      <c r="N304" s="37"/>
      <c r="O304" s="684"/>
      <c r="P304" s="37"/>
      <c r="Q304" s="684"/>
      <c r="R304" s="684"/>
      <c r="S304" s="684"/>
      <c r="T304" s="684"/>
      <c r="U304" s="37"/>
      <c r="V304" s="684"/>
      <c r="W304" s="37"/>
      <c r="X304" s="684"/>
      <c r="Y304" s="37"/>
      <c r="Z304" s="684"/>
      <c r="AA304" s="897"/>
      <c r="AB304" s="870"/>
      <c r="AC304" s="684"/>
      <c r="AD304" s="684"/>
      <c r="AE304" s="684"/>
      <c r="AF304" s="684"/>
      <c r="AG304" s="684"/>
      <c r="AH304" s="807">
        <f t="shared" si="76"/>
        <v>0</v>
      </c>
      <c r="AI304" s="937"/>
      <c r="AJ304" s="42"/>
      <c r="AK304" s="494"/>
      <c r="AL304" s="764"/>
      <c r="AM304" s="769">
        <f t="shared" si="77"/>
        <v>0</v>
      </c>
      <c r="AN304" s="881"/>
      <c r="AO304" s="882"/>
      <c r="AP304" s="883"/>
      <c r="AQ304" s="883"/>
      <c r="AR304" s="883"/>
      <c r="AS304" s="883"/>
      <c r="AT304" s="883"/>
      <c r="AU304" s="883"/>
      <c r="AV304" s="883"/>
      <c r="AW304" s="883"/>
      <c r="AX304" s="883"/>
      <c r="AY304" s="883"/>
      <c r="AZ304" s="883"/>
      <c r="BA304" s="870">
        <f t="shared" si="78"/>
        <v>0</v>
      </c>
    </row>
    <row r="305" spans="1:53" ht="18.75" x14ac:dyDescent="0.3">
      <c r="A305" s="1079"/>
      <c r="B305" s="171"/>
      <c r="C305" s="955"/>
      <c r="D305" s="140"/>
      <c r="E305" s="684"/>
      <c r="F305" s="684"/>
      <c r="G305" s="684"/>
      <c r="H305" s="684"/>
      <c r="I305" s="1078"/>
      <c r="J305" s="684"/>
      <c r="K305" s="684"/>
      <c r="L305" s="684"/>
      <c r="M305" s="684"/>
      <c r="N305" s="37"/>
      <c r="O305" s="684"/>
      <c r="P305" s="37"/>
      <c r="Q305" s="684"/>
      <c r="R305" s="684"/>
      <c r="S305" s="684"/>
      <c r="T305" s="684"/>
      <c r="U305" s="37"/>
      <c r="V305" s="684"/>
      <c r="W305" s="37"/>
      <c r="X305" s="684"/>
      <c r="Y305" s="37"/>
      <c r="Z305" s="684"/>
      <c r="AA305" s="897"/>
      <c r="AB305" s="870"/>
      <c r="AC305" s="684"/>
      <c r="AD305" s="684"/>
      <c r="AE305" s="684"/>
      <c r="AF305" s="684"/>
      <c r="AG305" s="684"/>
      <c r="AH305" s="807">
        <f t="shared" si="76"/>
        <v>0</v>
      </c>
      <c r="AI305" s="937"/>
      <c r="AJ305" s="42"/>
      <c r="AK305" s="494"/>
      <c r="AL305" s="764"/>
      <c r="AM305" s="769">
        <f t="shared" si="77"/>
        <v>0</v>
      </c>
      <c r="AN305" s="881"/>
      <c r="AO305" s="882"/>
      <c r="AP305" s="883"/>
      <c r="AQ305" s="883"/>
      <c r="AR305" s="883"/>
      <c r="AS305" s="883"/>
      <c r="AT305" s="883"/>
      <c r="AU305" s="883"/>
      <c r="AV305" s="883"/>
      <c r="AW305" s="883"/>
      <c r="AX305" s="883"/>
      <c r="AY305" s="883"/>
      <c r="AZ305" s="883"/>
      <c r="BA305" s="870">
        <f t="shared" si="78"/>
        <v>0</v>
      </c>
    </row>
    <row r="306" spans="1:53" ht="18.75" x14ac:dyDescent="0.3">
      <c r="A306" s="1079"/>
      <c r="B306" s="171"/>
      <c r="C306" s="955"/>
      <c r="D306" s="140"/>
      <c r="E306" s="684"/>
      <c r="F306" s="684"/>
      <c r="G306" s="684"/>
      <c r="H306" s="684"/>
      <c r="I306" s="684"/>
      <c r="J306" s="684"/>
      <c r="K306" s="684"/>
      <c r="L306" s="684"/>
      <c r="M306" s="684"/>
      <c r="N306" s="37"/>
      <c r="O306" s="684"/>
      <c r="P306" s="55"/>
      <c r="Q306" s="684"/>
      <c r="R306" s="684"/>
      <c r="S306" s="684"/>
      <c r="T306" s="684"/>
      <c r="U306" s="37"/>
      <c r="V306" s="684"/>
      <c r="W306" s="37"/>
      <c r="X306" s="684"/>
      <c r="Y306" s="37"/>
      <c r="Z306" s="684"/>
      <c r="AA306" s="897"/>
      <c r="AB306" s="870"/>
      <c r="AC306" s="684"/>
      <c r="AD306" s="684"/>
      <c r="AE306" s="684"/>
      <c r="AF306" s="684"/>
      <c r="AG306" s="684"/>
      <c r="AH306" s="807">
        <f t="shared" si="76"/>
        <v>0</v>
      </c>
      <c r="AI306" s="937"/>
      <c r="AJ306" s="42"/>
      <c r="AK306" s="494"/>
      <c r="AL306" s="764"/>
      <c r="AM306" s="769">
        <f t="shared" si="77"/>
        <v>0</v>
      </c>
      <c r="AN306" s="881"/>
      <c r="AO306" s="882"/>
      <c r="AP306" s="883"/>
      <c r="AQ306" s="883"/>
      <c r="AR306" s="883"/>
      <c r="AS306" s="883"/>
      <c r="AT306" s="883"/>
      <c r="AU306" s="883"/>
      <c r="AV306" s="883"/>
      <c r="AW306" s="883"/>
      <c r="AX306" s="883"/>
      <c r="AY306" s="883"/>
      <c r="AZ306" s="883"/>
      <c r="BA306" s="870">
        <f t="shared" si="78"/>
        <v>0</v>
      </c>
    </row>
    <row r="307" spans="1:53" ht="18.75" x14ac:dyDescent="0.3">
      <c r="A307" s="1079"/>
      <c r="B307" s="171"/>
      <c r="C307" s="955"/>
      <c r="D307" s="140"/>
      <c r="E307" s="684"/>
      <c r="F307" s="684"/>
      <c r="G307" s="684"/>
      <c r="H307" s="684"/>
      <c r="I307" s="684"/>
      <c r="J307" s="684"/>
      <c r="K307" s="684"/>
      <c r="L307" s="1078"/>
      <c r="M307" s="684"/>
      <c r="N307" s="37"/>
      <c r="O307" s="684"/>
      <c r="P307" s="37"/>
      <c r="Q307" s="684"/>
      <c r="R307" s="684"/>
      <c r="S307" s="684"/>
      <c r="T307" s="684"/>
      <c r="U307" s="37"/>
      <c r="V307" s="684"/>
      <c r="W307" s="37"/>
      <c r="X307" s="684"/>
      <c r="Y307" s="37"/>
      <c r="Z307" s="684"/>
      <c r="AA307" s="897"/>
      <c r="AB307" s="870"/>
      <c r="AC307" s="684"/>
      <c r="AD307" s="684"/>
      <c r="AE307" s="684"/>
      <c r="AF307" s="684"/>
      <c r="AG307" s="684"/>
      <c r="AH307" s="807">
        <f t="shared" si="76"/>
        <v>0</v>
      </c>
      <c r="AI307" s="937"/>
      <c r="AJ307" s="42"/>
      <c r="AK307" s="494"/>
      <c r="AL307" s="764"/>
      <c r="AM307" s="769">
        <f t="shared" si="77"/>
        <v>0</v>
      </c>
      <c r="AN307" s="881"/>
      <c r="AO307" s="882"/>
      <c r="AP307" s="883"/>
      <c r="AQ307" s="883"/>
      <c r="AR307" s="883"/>
      <c r="AS307" s="883"/>
      <c r="AT307" s="883"/>
      <c r="AU307" s="883"/>
      <c r="AV307" s="883"/>
      <c r="AW307" s="883"/>
      <c r="AX307" s="883"/>
      <c r="AY307" s="883"/>
      <c r="AZ307" s="883"/>
      <c r="BA307" s="870">
        <f t="shared" si="78"/>
        <v>0</v>
      </c>
    </row>
    <row r="308" spans="1:53" ht="18.75" x14ac:dyDescent="0.3">
      <c r="A308" s="1079"/>
      <c r="B308" s="171"/>
      <c r="C308" s="955"/>
      <c r="D308" s="140"/>
      <c r="E308" s="684"/>
      <c r="F308" s="684"/>
      <c r="G308" s="684"/>
      <c r="H308" s="684"/>
      <c r="I308" s="684"/>
      <c r="J308" s="684"/>
      <c r="K308" s="684"/>
      <c r="L308" s="684"/>
      <c r="M308" s="1080"/>
      <c r="N308" s="37"/>
      <c r="O308" s="684"/>
      <c r="P308" s="37"/>
      <c r="Q308" s="684"/>
      <c r="R308" s="684"/>
      <c r="S308" s="684"/>
      <c r="T308" s="684"/>
      <c r="U308" s="37"/>
      <c r="V308" s="684"/>
      <c r="W308" s="37"/>
      <c r="X308" s="684"/>
      <c r="Y308" s="37"/>
      <c r="Z308" s="684"/>
      <c r="AA308" s="897"/>
      <c r="AB308" s="870"/>
      <c r="AC308" s="684"/>
      <c r="AD308" s="684"/>
      <c r="AE308" s="684"/>
      <c r="AF308" s="684"/>
      <c r="AG308" s="684"/>
      <c r="AH308" s="807">
        <f t="shared" si="76"/>
        <v>0</v>
      </c>
      <c r="AI308" s="937"/>
      <c r="AJ308" s="42"/>
      <c r="AK308" s="494"/>
      <c r="AL308" s="764"/>
      <c r="AM308" s="769">
        <f t="shared" si="77"/>
        <v>0</v>
      </c>
      <c r="AN308" s="881"/>
      <c r="AO308" s="882"/>
      <c r="AP308" s="883"/>
      <c r="AQ308" s="883"/>
      <c r="AR308" s="883"/>
      <c r="AS308" s="883"/>
      <c r="AT308" s="883"/>
      <c r="AU308" s="883"/>
      <c r="AV308" s="883"/>
      <c r="AW308" s="883"/>
      <c r="AX308" s="883"/>
      <c r="AY308" s="883"/>
      <c r="AZ308" s="883"/>
      <c r="BA308" s="870">
        <f t="shared" si="78"/>
        <v>0</v>
      </c>
    </row>
    <row r="309" spans="1:53" ht="18.75" x14ac:dyDescent="0.3">
      <c r="A309" s="1079"/>
      <c r="B309" s="171"/>
      <c r="C309" s="955"/>
      <c r="D309" s="140"/>
      <c r="E309" s="684"/>
      <c r="F309" s="684"/>
      <c r="G309" s="684"/>
      <c r="H309" s="684"/>
      <c r="I309" s="684"/>
      <c r="J309" s="684"/>
      <c r="K309" s="684"/>
      <c r="L309" s="1080"/>
      <c r="M309" s="684"/>
      <c r="N309" s="37"/>
      <c r="O309" s="684"/>
      <c r="P309" s="37"/>
      <c r="Q309" s="684"/>
      <c r="R309" s="684"/>
      <c r="S309" s="684"/>
      <c r="T309" s="684"/>
      <c r="U309" s="37"/>
      <c r="V309" s="684"/>
      <c r="W309" s="37"/>
      <c r="X309" s="684"/>
      <c r="Y309" s="37"/>
      <c r="Z309" s="684"/>
      <c r="AA309" s="897"/>
      <c r="AB309" s="870"/>
      <c r="AC309" s="684"/>
      <c r="AD309" s="684"/>
      <c r="AE309" s="684"/>
      <c r="AF309" s="684"/>
      <c r="AG309" s="684"/>
      <c r="AH309" s="807">
        <f t="shared" si="76"/>
        <v>0</v>
      </c>
      <c r="AI309" s="937"/>
      <c r="AJ309" s="42"/>
      <c r="AK309" s="494"/>
      <c r="AL309" s="764"/>
      <c r="AM309" s="769">
        <f t="shared" si="77"/>
        <v>0</v>
      </c>
      <c r="AN309" s="881"/>
      <c r="AO309" s="882"/>
      <c r="AP309" s="883"/>
      <c r="AQ309" s="883"/>
      <c r="AR309" s="883"/>
      <c r="AS309" s="883"/>
      <c r="AT309" s="883"/>
      <c r="AU309" s="883"/>
      <c r="AV309" s="883"/>
      <c r="AW309" s="883"/>
      <c r="AX309" s="883"/>
      <c r="AY309" s="883"/>
      <c r="AZ309" s="883"/>
      <c r="BA309" s="870">
        <f t="shared" si="78"/>
        <v>0</v>
      </c>
    </row>
    <row r="310" spans="1:53" ht="18.75" x14ac:dyDescent="0.3">
      <c r="A310" s="1031"/>
      <c r="B310" s="1081"/>
      <c r="C310" s="1033"/>
      <c r="D310" s="1034"/>
      <c r="E310" s="916"/>
      <c r="F310" s="916"/>
      <c r="G310" s="916"/>
      <c r="H310" s="916"/>
      <c r="I310" s="916"/>
      <c r="J310" s="916"/>
      <c r="K310" s="916"/>
      <c r="L310" s="916"/>
      <c r="M310" s="916"/>
      <c r="N310" s="888"/>
      <c r="O310" s="916"/>
      <c r="P310" s="888"/>
      <c r="Q310" s="916"/>
      <c r="R310" s="916"/>
      <c r="S310" s="916"/>
      <c r="T310" s="916"/>
      <c r="U310" s="888"/>
      <c r="V310" s="916"/>
      <c r="W310" s="888"/>
      <c r="X310" s="916"/>
      <c r="Y310" s="888"/>
      <c r="Z310" s="916"/>
      <c r="AA310" s="898"/>
      <c r="AB310" s="888"/>
      <c r="AC310" s="916"/>
      <c r="AD310" s="916"/>
      <c r="AE310" s="916"/>
      <c r="AF310" s="916"/>
      <c r="AG310" s="916"/>
      <c r="AH310" s="1049">
        <f t="shared" si="76"/>
        <v>0</v>
      </c>
      <c r="AI310" s="937"/>
      <c r="AJ310" s="42"/>
      <c r="AK310" s="494"/>
      <c r="AL310" s="764"/>
      <c r="AM310" s="769">
        <f t="shared" si="77"/>
        <v>0</v>
      </c>
      <c r="AN310" s="881"/>
      <c r="AO310" s="882"/>
      <c r="AP310" s="870"/>
      <c r="AQ310" s="870"/>
      <c r="AR310" s="870"/>
      <c r="AS310" s="870"/>
      <c r="AT310" s="870"/>
      <c r="AU310" s="870"/>
      <c r="AV310" s="870"/>
      <c r="AW310" s="870"/>
      <c r="AX310" s="870"/>
      <c r="AY310" s="870"/>
      <c r="AZ310" s="870"/>
      <c r="BA310" s="870">
        <f t="shared" si="78"/>
        <v>0</v>
      </c>
    </row>
    <row r="311" spans="1:53" ht="18.75" customHeight="1" x14ac:dyDescent="0.3">
      <c r="A311" s="742"/>
      <c r="B311" s="506"/>
      <c r="C311" s="482"/>
      <c r="D311" s="507" t="s">
        <v>253</v>
      </c>
      <c r="E311" s="156">
        <f t="shared" ref="E311:AG311" si="79">SUM(E290:E310)</f>
        <v>0</v>
      </c>
      <c r="F311" s="156">
        <f t="shared" si="79"/>
        <v>0</v>
      </c>
      <c r="G311" s="156">
        <f t="shared" si="79"/>
        <v>0</v>
      </c>
      <c r="H311" s="156">
        <f t="shared" si="79"/>
        <v>0</v>
      </c>
      <c r="I311" s="156">
        <f t="shared" si="79"/>
        <v>0</v>
      </c>
      <c r="J311" s="156">
        <f t="shared" si="79"/>
        <v>0</v>
      </c>
      <c r="K311" s="156">
        <f t="shared" si="79"/>
        <v>0</v>
      </c>
      <c r="L311" s="156">
        <f t="shared" si="79"/>
        <v>0</v>
      </c>
      <c r="M311" s="156">
        <f t="shared" si="79"/>
        <v>0</v>
      </c>
      <c r="N311" s="508">
        <f t="shared" si="79"/>
        <v>0</v>
      </c>
      <c r="O311" s="156">
        <f t="shared" si="79"/>
        <v>0</v>
      </c>
      <c r="P311" s="156">
        <f t="shared" si="79"/>
        <v>0</v>
      </c>
      <c r="Q311" s="156">
        <f t="shared" si="79"/>
        <v>0</v>
      </c>
      <c r="R311" s="156">
        <f t="shared" si="79"/>
        <v>0</v>
      </c>
      <c r="S311" s="156">
        <f t="shared" si="79"/>
        <v>0</v>
      </c>
      <c r="T311" s="156">
        <f t="shared" si="79"/>
        <v>0</v>
      </c>
      <c r="U311" s="156">
        <f t="shared" si="79"/>
        <v>0</v>
      </c>
      <c r="V311" s="156">
        <f t="shared" si="79"/>
        <v>0</v>
      </c>
      <c r="W311" s="156">
        <f t="shared" si="79"/>
        <v>0</v>
      </c>
      <c r="X311" s="156">
        <f t="shared" si="79"/>
        <v>0</v>
      </c>
      <c r="Y311" s="156">
        <f t="shared" si="79"/>
        <v>0</v>
      </c>
      <c r="Z311" s="156">
        <f t="shared" si="79"/>
        <v>0</v>
      </c>
      <c r="AA311" s="902">
        <f t="shared" si="79"/>
        <v>0</v>
      </c>
      <c r="AB311" s="508">
        <f t="shared" si="79"/>
        <v>0</v>
      </c>
      <c r="AC311" s="156">
        <f t="shared" si="79"/>
        <v>0</v>
      </c>
      <c r="AD311" s="156">
        <f t="shared" si="79"/>
        <v>0</v>
      </c>
      <c r="AE311" s="156">
        <f t="shared" si="79"/>
        <v>0</v>
      </c>
      <c r="AF311" s="156">
        <f t="shared" si="79"/>
        <v>0</v>
      </c>
      <c r="AG311" s="156">
        <f t="shared" si="79"/>
        <v>0</v>
      </c>
      <c r="AH311" s="786">
        <f t="shared" si="76"/>
        <v>0</v>
      </c>
      <c r="AI311" s="1082"/>
      <c r="AJ311" s="490"/>
      <c r="AK311" s="509"/>
      <c r="AL311" s="765"/>
      <c r="AM311" s="769"/>
      <c r="AN311" s="396"/>
      <c r="AO311" s="397"/>
      <c r="AP311" s="37"/>
      <c r="AQ311" s="491"/>
      <c r="AR311" s="491"/>
      <c r="AS311" s="491"/>
      <c r="AT311" s="491"/>
      <c r="AU311" s="491"/>
      <c r="AV311" s="491"/>
      <c r="AW311" s="491"/>
      <c r="AX311" s="491"/>
      <c r="AY311" s="491"/>
      <c r="AZ311" s="491"/>
      <c r="BA311" s="491"/>
    </row>
    <row r="312" spans="1:53" ht="18.75" customHeight="1" x14ac:dyDescent="0.3">
      <c r="A312" s="742"/>
      <c r="B312" s="506"/>
      <c r="C312" s="482"/>
      <c r="D312" s="507" t="s">
        <v>254</v>
      </c>
      <c r="E312" s="150">
        <f t="shared" ref="E312:AG312" si="80">SUM(E288+E311)</f>
        <v>88126.2</v>
      </c>
      <c r="F312" s="150">
        <f t="shared" si="80"/>
        <v>104149.33</v>
      </c>
      <c r="G312" s="150">
        <f t="shared" si="80"/>
        <v>6305</v>
      </c>
      <c r="H312" s="150">
        <f t="shared" si="80"/>
        <v>0</v>
      </c>
      <c r="I312" s="150">
        <f t="shared" si="80"/>
        <v>0</v>
      </c>
      <c r="J312" s="150">
        <f t="shared" si="80"/>
        <v>2600</v>
      </c>
      <c r="K312" s="150">
        <f t="shared" si="80"/>
        <v>0</v>
      </c>
      <c r="L312" s="150">
        <f t="shared" si="80"/>
        <v>54590</v>
      </c>
      <c r="M312" s="150">
        <f t="shared" si="80"/>
        <v>330000</v>
      </c>
      <c r="N312" s="510">
        <f t="shared" si="80"/>
        <v>23600</v>
      </c>
      <c r="O312" s="150">
        <f t="shared" si="80"/>
        <v>55717</v>
      </c>
      <c r="P312" s="150">
        <f t="shared" si="80"/>
        <v>87210</v>
      </c>
      <c r="Q312" s="150">
        <f t="shared" si="80"/>
        <v>0</v>
      </c>
      <c r="R312" s="150">
        <f t="shared" si="80"/>
        <v>0</v>
      </c>
      <c r="S312" s="150">
        <f t="shared" si="80"/>
        <v>0</v>
      </c>
      <c r="T312" s="150">
        <f t="shared" si="80"/>
        <v>214000</v>
      </c>
      <c r="U312" s="150">
        <f t="shared" si="80"/>
        <v>0</v>
      </c>
      <c r="V312" s="150">
        <f t="shared" si="80"/>
        <v>98000</v>
      </c>
      <c r="W312" s="150">
        <f t="shared" si="80"/>
        <v>1657002</v>
      </c>
      <c r="X312" s="150">
        <f t="shared" si="80"/>
        <v>1620000</v>
      </c>
      <c r="Y312" s="150">
        <f t="shared" si="80"/>
        <v>0</v>
      </c>
      <c r="Z312" s="150">
        <f t="shared" si="80"/>
        <v>99296</v>
      </c>
      <c r="AA312" s="903">
        <f t="shared" si="80"/>
        <v>152876.25</v>
      </c>
      <c r="AB312" s="510">
        <f t="shared" si="80"/>
        <v>350000</v>
      </c>
      <c r="AC312" s="150">
        <f t="shared" si="80"/>
        <v>364200</v>
      </c>
      <c r="AD312" s="150">
        <f t="shared" si="80"/>
        <v>0</v>
      </c>
      <c r="AE312" s="150">
        <f t="shared" si="80"/>
        <v>515869</v>
      </c>
      <c r="AF312" s="150">
        <f t="shared" si="80"/>
        <v>0</v>
      </c>
      <c r="AG312" s="150">
        <f t="shared" si="80"/>
        <v>0</v>
      </c>
      <c r="AH312" s="786">
        <f t="shared" si="76"/>
        <v>5823540.7800000003</v>
      </c>
      <c r="AI312" s="1082"/>
      <c r="AJ312" s="490"/>
      <c r="AK312" s="509"/>
      <c r="AL312" s="765"/>
      <c r="AM312" s="769"/>
      <c r="AN312" s="396"/>
      <c r="AO312" s="397"/>
      <c r="AP312" s="37"/>
      <c r="AQ312" s="55"/>
      <c r="AR312" s="55"/>
      <c r="AS312" s="55"/>
      <c r="AT312" s="55"/>
      <c r="AU312" s="55"/>
      <c r="AV312" s="55"/>
      <c r="AW312" s="55"/>
      <c r="AX312" s="55"/>
      <c r="AY312" s="55"/>
      <c r="AZ312" s="55"/>
      <c r="BA312" s="55"/>
    </row>
    <row r="313" spans="1:53" ht="18.75" customHeight="1" x14ac:dyDescent="0.3">
      <c r="A313" s="743"/>
      <c r="B313" s="511"/>
      <c r="C313" s="484"/>
      <c r="D313" s="512" t="s">
        <v>255</v>
      </c>
      <c r="E313" s="153">
        <f t="shared" ref="E313:AG313" si="81">SUM(E289-E311)</f>
        <v>655373.80000000005</v>
      </c>
      <c r="F313" s="153">
        <f t="shared" si="81"/>
        <v>195850.66999999998</v>
      </c>
      <c r="G313" s="153">
        <f t="shared" si="81"/>
        <v>26095</v>
      </c>
      <c r="H313" s="153">
        <f t="shared" si="81"/>
        <v>0</v>
      </c>
      <c r="I313" s="153">
        <f t="shared" si="81"/>
        <v>0</v>
      </c>
      <c r="J313" s="153">
        <f t="shared" si="81"/>
        <v>-2600</v>
      </c>
      <c r="K313" s="153">
        <f t="shared" si="81"/>
        <v>0</v>
      </c>
      <c r="L313" s="153">
        <f t="shared" si="81"/>
        <v>93310</v>
      </c>
      <c r="M313" s="153">
        <f t="shared" si="81"/>
        <v>-376700</v>
      </c>
      <c r="N313" s="513">
        <f t="shared" si="81"/>
        <v>-23600</v>
      </c>
      <c r="O313" s="153">
        <f t="shared" si="81"/>
        <v>594283</v>
      </c>
      <c r="P313" s="153">
        <f t="shared" si="81"/>
        <v>79490</v>
      </c>
      <c r="Q313" s="153">
        <f t="shared" si="81"/>
        <v>1573400</v>
      </c>
      <c r="R313" s="153">
        <f t="shared" si="81"/>
        <v>0</v>
      </c>
      <c r="S313" s="153">
        <f t="shared" si="81"/>
        <v>0</v>
      </c>
      <c r="T313" s="153">
        <f t="shared" si="81"/>
        <v>100000</v>
      </c>
      <c r="U313" s="153">
        <f t="shared" si="81"/>
        <v>488945</v>
      </c>
      <c r="V313" s="153">
        <f t="shared" si="81"/>
        <v>76900</v>
      </c>
      <c r="W313" s="153">
        <f t="shared" si="81"/>
        <v>-363343</v>
      </c>
      <c r="X313" s="153">
        <f t="shared" si="81"/>
        <v>-15200</v>
      </c>
      <c r="Y313" s="153">
        <f t="shared" si="81"/>
        <v>289600</v>
      </c>
      <c r="Z313" s="153">
        <f t="shared" si="81"/>
        <v>100000</v>
      </c>
      <c r="AA313" s="904">
        <f t="shared" si="81"/>
        <v>107123.75</v>
      </c>
      <c r="AB313" s="513">
        <f t="shared" si="81"/>
        <v>-75200</v>
      </c>
      <c r="AC313" s="153">
        <f t="shared" si="81"/>
        <v>-166200</v>
      </c>
      <c r="AD313" s="153">
        <f t="shared" si="81"/>
        <v>0</v>
      </c>
      <c r="AE313" s="153">
        <f t="shared" si="81"/>
        <v>7984131</v>
      </c>
      <c r="AF313" s="153">
        <f t="shared" si="81"/>
        <v>716400</v>
      </c>
      <c r="AG313" s="153">
        <f t="shared" si="81"/>
        <v>1113800</v>
      </c>
      <c r="AH313" s="787">
        <f t="shared" si="76"/>
        <v>13171859.219999999</v>
      </c>
      <c r="AI313" s="1082"/>
      <c r="AJ313" s="490"/>
      <c r="AK313" s="509"/>
      <c r="AL313" s="765"/>
      <c r="AM313" s="769"/>
      <c r="AN313" s="396"/>
      <c r="AO313" s="397"/>
      <c r="AP313" s="37"/>
      <c r="AQ313" s="55"/>
      <c r="AR313" s="55"/>
      <c r="AS313" s="55"/>
      <c r="AT313" s="55"/>
      <c r="AU313" s="55"/>
      <c r="AV313" s="55"/>
      <c r="AW313" s="55"/>
      <c r="AX313" s="55"/>
      <c r="AY313" s="55"/>
      <c r="AZ313" s="55"/>
      <c r="BA313" s="55"/>
    </row>
    <row r="314" spans="1:53" ht="18.75" customHeight="1" x14ac:dyDescent="0.3">
      <c r="A314" s="1035" t="s">
        <v>256</v>
      </c>
      <c r="B314" s="171"/>
      <c r="C314" s="955"/>
      <c r="D314" s="41"/>
      <c r="E314" s="684"/>
      <c r="F314" s="684"/>
      <c r="G314" s="684"/>
      <c r="H314" s="684"/>
      <c r="I314" s="684"/>
      <c r="J314" s="966"/>
      <c r="K314" s="966"/>
      <c r="L314" s="966"/>
      <c r="M314" s="684"/>
      <c r="N314" s="37"/>
      <c r="O314" s="684"/>
      <c r="P314" s="37"/>
      <c r="Q314" s="684"/>
      <c r="R314" s="684"/>
      <c r="S314" s="684"/>
      <c r="T314" s="684"/>
      <c r="U314" s="37"/>
      <c r="V314" s="684"/>
      <c r="W314" s="37"/>
      <c r="X314" s="684"/>
      <c r="Y314" s="37"/>
      <c r="Z314" s="684"/>
      <c r="AA314" s="897"/>
      <c r="AB314" s="870"/>
      <c r="AC314" s="684"/>
      <c r="AD314" s="684"/>
      <c r="AE314" s="684"/>
      <c r="AF314" s="684"/>
      <c r="AG314" s="684"/>
      <c r="AH314" s="1036"/>
      <c r="AI314" s="937"/>
      <c r="AJ314" s="42"/>
      <c r="AK314" s="494"/>
      <c r="AL314" s="764"/>
      <c r="AM314" s="769">
        <f t="shared" ref="AM314" si="82">AH314-AK314-AL314</f>
        <v>0</v>
      </c>
      <c r="AN314" s="481"/>
      <c r="AO314" s="395"/>
      <c r="AP314" s="37"/>
      <c r="AQ314" s="37"/>
      <c r="AR314" s="37"/>
      <c r="AS314" s="476"/>
      <c r="AT314" s="476"/>
      <c r="AU314" s="476"/>
      <c r="AV314" s="476"/>
      <c r="AW314" s="476"/>
      <c r="AX314" s="476"/>
      <c r="AY314" s="476"/>
      <c r="AZ314" s="476"/>
      <c r="BA314" s="476"/>
    </row>
    <row r="315" spans="1:53" ht="18.75" x14ac:dyDescent="0.3">
      <c r="A315" s="957"/>
      <c r="B315" s="171"/>
      <c r="C315" s="955"/>
      <c r="D315" s="34"/>
      <c r="E315" s="684"/>
      <c r="F315" s="684"/>
      <c r="G315" s="684"/>
      <c r="H315" s="684"/>
      <c r="I315" s="684"/>
      <c r="J315" s="684"/>
      <c r="K315" s="684"/>
      <c r="L315" s="684"/>
      <c r="M315" s="684"/>
      <c r="N315" s="37"/>
      <c r="O315" s="684"/>
      <c r="P315" s="37"/>
      <c r="Q315" s="684"/>
      <c r="R315" s="684"/>
      <c r="S315" s="684"/>
      <c r="T315" s="684"/>
      <c r="U315" s="37"/>
      <c r="V315" s="684"/>
      <c r="W315" s="37"/>
      <c r="X315" s="684"/>
      <c r="Y315" s="37"/>
      <c r="Z315" s="684"/>
      <c r="AA315" s="897"/>
      <c r="AB315" s="870"/>
      <c r="AC315" s="684"/>
      <c r="AD315" s="684"/>
      <c r="AE315" s="684"/>
      <c r="AF315" s="684"/>
      <c r="AG315" s="684"/>
      <c r="AH315" s="807">
        <f t="shared" ref="AH315:AH337" si="83">SUM(E315:AG315)</f>
        <v>0</v>
      </c>
      <c r="AI315" s="937"/>
      <c r="AJ315" s="42"/>
      <c r="AK315" s="494"/>
      <c r="AL315" s="764"/>
      <c r="AM315" s="769">
        <f>AH315-AK315-AL315</f>
        <v>0</v>
      </c>
      <c r="AN315" s="881"/>
      <c r="AO315" s="882"/>
      <c r="AP315" s="870"/>
      <c r="AQ315" s="870"/>
      <c r="AR315" s="870"/>
      <c r="AS315" s="870"/>
      <c r="AT315" s="870"/>
      <c r="AU315" s="870"/>
      <c r="AV315" s="870"/>
      <c r="AW315" s="870"/>
      <c r="AX315" s="870"/>
      <c r="AY315" s="870"/>
      <c r="AZ315" s="870"/>
      <c r="BA315" s="870">
        <f>SUM(AO315:AZ315)</f>
        <v>0</v>
      </c>
    </row>
    <row r="316" spans="1:53" ht="18.75" x14ac:dyDescent="0.3">
      <c r="A316" s="957"/>
      <c r="B316" s="171"/>
      <c r="C316" s="955"/>
      <c r="D316" s="34"/>
      <c r="E316" s="684"/>
      <c r="F316" s="684"/>
      <c r="G316" s="684"/>
      <c r="H316" s="684"/>
      <c r="I316" s="684"/>
      <c r="J316" s="684"/>
      <c r="K316" s="684"/>
      <c r="L316" s="684"/>
      <c r="M316" s="684"/>
      <c r="N316" s="37"/>
      <c r="O316" s="684"/>
      <c r="P316" s="37"/>
      <c r="Q316" s="684"/>
      <c r="R316" s="684"/>
      <c r="S316" s="684"/>
      <c r="T316" s="684"/>
      <c r="U316" s="37"/>
      <c r="V316" s="684"/>
      <c r="W316" s="37"/>
      <c r="X316" s="684"/>
      <c r="Y316" s="37"/>
      <c r="Z316" s="684"/>
      <c r="AA316" s="897"/>
      <c r="AB316" s="870"/>
      <c r="AC316" s="684"/>
      <c r="AD316" s="684"/>
      <c r="AE316" s="684"/>
      <c r="AF316" s="684"/>
      <c r="AG316" s="684"/>
      <c r="AH316" s="807">
        <f t="shared" si="83"/>
        <v>0</v>
      </c>
      <c r="AI316" s="937"/>
      <c r="AJ316" s="42"/>
      <c r="AK316" s="494"/>
      <c r="AL316" s="764"/>
      <c r="AM316" s="769">
        <f t="shared" ref="AM316:AM334" si="84">AH316-AK316-AL316</f>
        <v>0</v>
      </c>
      <c r="AN316" s="881"/>
      <c r="AO316" s="882"/>
      <c r="AP316" s="870"/>
      <c r="AQ316" s="870"/>
      <c r="AR316" s="870"/>
      <c r="AS316" s="870"/>
      <c r="AT316" s="870"/>
      <c r="AU316" s="870"/>
      <c r="AV316" s="870"/>
      <c r="AW316" s="870"/>
      <c r="AX316" s="870"/>
      <c r="AY316" s="870"/>
      <c r="AZ316" s="870"/>
      <c r="BA316" s="870">
        <f t="shared" ref="BA316:BA334" si="85">SUM(AO316:AZ316)</f>
        <v>0</v>
      </c>
    </row>
    <row r="317" spans="1:53" ht="18.75" x14ac:dyDescent="0.3">
      <c r="A317" s="957"/>
      <c r="B317" s="171"/>
      <c r="C317" s="955"/>
      <c r="D317" s="34"/>
      <c r="E317" s="684"/>
      <c r="F317" s="684"/>
      <c r="G317" s="684"/>
      <c r="H317" s="684"/>
      <c r="I317" s="684"/>
      <c r="J317" s="684"/>
      <c r="K317" s="684"/>
      <c r="L317" s="684"/>
      <c r="M317" s="684"/>
      <c r="N317" s="37"/>
      <c r="O317" s="684"/>
      <c r="P317" s="37"/>
      <c r="Q317" s="684"/>
      <c r="R317" s="684"/>
      <c r="S317" s="684"/>
      <c r="T317" s="684"/>
      <c r="U317" s="37"/>
      <c r="V317" s="684"/>
      <c r="W317" s="37"/>
      <c r="X317" s="684"/>
      <c r="Y317" s="37"/>
      <c r="Z317" s="684"/>
      <c r="AA317" s="897"/>
      <c r="AB317" s="870"/>
      <c r="AC317" s="684"/>
      <c r="AD317" s="684"/>
      <c r="AE317" s="684"/>
      <c r="AF317" s="684"/>
      <c r="AG317" s="684"/>
      <c r="AH317" s="807">
        <f t="shared" si="83"/>
        <v>0</v>
      </c>
      <c r="AI317" s="937"/>
      <c r="AJ317" s="65"/>
      <c r="AK317" s="494"/>
      <c r="AL317" s="764"/>
      <c r="AM317" s="769">
        <f t="shared" si="84"/>
        <v>0</v>
      </c>
      <c r="AN317" s="881"/>
      <c r="AO317" s="882"/>
      <c r="AP317" s="870"/>
      <c r="AQ317" s="870"/>
      <c r="AR317" s="870"/>
      <c r="AS317" s="870"/>
      <c r="AT317" s="870"/>
      <c r="AU317" s="870"/>
      <c r="AV317" s="870"/>
      <c r="AW317" s="870"/>
      <c r="AX317" s="870"/>
      <c r="AY317" s="870"/>
      <c r="AZ317" s="870"/>
      <c r="BA317" s="870">
        <f t="shared" si="85"/>
        <v>0</v>
      </c>
    </row>
    <row r="318" spans="1:53" ht="18.75" x14ac:dyDescent="0.3">
      <c r="A318" s="957"/>
      <c r="B318" s="871"/>
      <c r="C318" s="840"/>
      <c r="D318" s="34"/>
      <c r="E318" s="684"/>
      <c r="F318" s="684"/>
      <c r="G318" s="684"/>
      <c r="H318" s="684"/>
      <c r="I318" s="684"/>
      <c r="J318" s="684"/>
      <c r="K318" s="684"/>
      <c r="L318" s="684"/>
      <c r="M318" s="684"/>
      <c r="N318" s="37"/>
      <c r="O318" s="684"/>
      <c r="P318" s="37"/>
      <c r="Q318" s="684"/>
      <c r="R318" s="684"/>
      <c r="S318" s="684"/>
      <c r="T318" s="684"/>
      <c r="U318" s="37"/>
      <c r="V318" s="684"/>
      <c r="W318" s="37"/>
      <c r="X318" s="684"/>
      <c r="Y318" s="37"/>
      <c r="Z318" s="684"/>
      <c r="AA318" s="897"/>
      <c r="AB318" s="870"/>
      <c r="AC318" s="684"/>
      <c r="AD318" s="684"/>
      <c r="AE318" s="684"/>
      <c r="AF318" s="684"/>
      <c r="AG318" s="684"/>
      <c r="AH318" s="807">
        <f t="shared" si="83"/>
        <v>0</v>
      </c>
      <c r="AI318" s="940"/>
      <c r="AJ318" s="874"/>
      <c r="AK318" s="875"/>
      <c r="AL318" s="764"/>
      <c r="AM318" s="769">
        <f t="shared" si="84"/>
        <v>0</v>
      </c>
      <c r="AN318" s="881"/>
      <c r="AO318" s="882"/>
      <c r="AP318" s="870"/>
      <c r="AQ318" s="870"/>
      <c r="AR318" s="870"/>
      <c r="AS318" s="870"/>
      <c r="AT318" s="870"/>
      <c r="AU318" s="870"/>
      <c r="AV318" s="870"/>
      <c r="AW318" s="870"/>
      <c r="AX318" s="870"/>
      <c r="AY318" s="870"/>
      <c r="AZ318" s="870"/>
      <c r="BA318" s="870">
        <f t="shared" si="85"/>
        <v>0</v>
      </c>
    </row>
    <row r="319" spans="1:53" ht="18.75" x14ac:dyDescent="0.3">
      <c r="A319" s="957"/>
      <c r="B319" s="871"/>
      <c r="C319" s="955"/>
      <c r="D319" s="34"/>
      <c r="E319" s="684"/>
      <c r="F319" s="684"/>
      <c r="G319" s="684"/>
      <c r="H319" s="684"/>
      <c r="I319" s="684"/>
      <c r="J319" s="684"/>
      <c r="K319" s="684"/>
      <c r="L319" s="684"/>
      <c r="M319" s="684"/>
      <c r="N319" s="37"/>
      <c r="O319" s="684"/>
      <c r="P319" s="37"/>
      <c r="Q319" s="684"/>
      <c r="R319" s="684"/>
      <c r="S319" s="684"/>
      <c r="T319" s="684"/>
      <c r="U319" s="37"/>
      <c r="V319" s="684"/>
      <c r="W319" s="37"/>
      <c r="X319" s="684"/>
      <c r="Y319" s="37"/>
      <c r="Z319" s="684"/>
      <c r="AA319" s="897"/>
      <c r="AB319" s="870"/>
      <c r="AC319" s="684"/>
      <c r="AD319" s="684"/>
      <c r="AE319" s="684"/>
      <c r="AF319" s="684"/>
      <c r="AG319" s="684"/>
      <c r="AH319" s="807">
        <f t="shared" si="83"/>
        <v>0</v>
      </c>
      <c r="AI319" s="940"/>
      <c r="AJ319" s="874"/>
      <c r="AK319" s="494"/>
      <c r="AL319" s="764"/>
      <c r="AM319" s="769">
        <f t="shared" si="84"/>
        <v>0</v>
      </c>
      <c r="AN319" s="881"/>
      <c r="AO319" s="882"/>
      <c r="AP319" s="870"/>
      <c r="AQ319" s="886"/>
      <c r="AR319" s="870"/>
      <c r="AS319" s="870"/>
      <c r="AT319" s="870"/>
      <c r="AU319" s="870"/>
      <c r="AV319" s="870"/>
      <c r="AW319" s="870"/>
      <c r="AX319" s="870"/>
      <c r="AY319" s="870"/>
      <c r="AZ319" s="870"/>
      <c r="BA319" s="870">
        <f t="shared" si="85"/>
        <v>0</v>
      </c>
    </row>
    <row r="320" spans="1:53" ht="18.75" x14ac:dyDescent="0.3">
      <c r="A320" s="957"/>
      <c r="B320" s="871"/>
      <c r="C320" s="955"/>
      <c r="D320" s="34"/>
      <c r="E320" s="684"/>
      <c r="F320" s="684"/>
      <c r="G320" s="684"/>
      <c r="H320" s="684"/>
      <c r="I320" s="684"/>
      <c r="J320" s="684"/>
      <c r="K320" s="684"/>
      <c r="L320" s="684"/>
      <c r="M320" s="684"/>
      <c r="N320" s="37"/>
      <c r="O320" s="684"/>
      <c r="P320" s="37"/>
      <c r="Q320" s="684"/>
      <c r="R320" s="684"/>
      <c r="S320" s="684"/>
      <c r="T320" s="684"/>
      <c r="U320" s="37"/>
      <c r="V320" s="684"/>
      <c r="W320" s="37"/>
      <c r="X320" s="684"/>
      <c r="Y320" s="37"/>
      <c r="Z320" s="684"/>
      <c r="AA320" s="897"/>
      <c r="AB320" s="870"/>
      <c r="AC320" s="684"/>
      <c r="AD320" s="684"/>
      <c r="AE320" s="684"/>
      <c r="AF320" s="684"/>
      <c r="AG320" s="684"/>
      <c r="AH320" s="807">
        <f t="shared" si="83"/>
        <v>0</v>
      </c>
      <c r="AI320" s="940"/>
      <c r="AJ320" s="874"/>
      <c r="AK320" s="494"/>
      <c r="AL320" s="764"/>
      <c r="AM320" s="769">
        <f t="shared" si="84"/>
        <v>0</v>
      </c>
      <c r="AN320" s="881"/>
      <c r="AO320" s="882"/>
      <c r="AP320" s="870"/>
      <c r="AQ320" s="870"/>
      <c r="AR320" s="870"/>
      <c r="AS320" s="870"/>
      <c r="AT320" s="870"/>
      <c r="AU320" s="870"/>
      <c r="AV320" s="870"/>
      <c r="AW320" s="870"/>
      <c r="AX320" s="870"/>
      <c r="AY320" s="870"/>
      <c r="AZ320" s="870"/>
      <c r="BA320" s="870">
        <f t="shared" si="85"/>
        <v>0</v>
      </c>
    </row>
    <row r="321" spans="1:53" ht="18.75" x14ac:dyDescent="0.3">
      <c r="A321" s="957"/>
      <c r="B321" s="871"/>
      <c r="C321" s="955"/>
      <c r="D321" s="34"/>
      <c r="E321" s="684"/>
      <c r="F321" s="684"/>
      <c r="G321" s="684"/>
      <c r="H321" s="684"/>
      <c r="I321" s="684"/>
      <c r="J321" s="684"/>
      <c r="K321" s="684"/>
      <c r="L321" s="684"/>
      <c r="M321" s="684"/>
      <c r="N321" s="37"/>
      <c r="O321" s="684"/>
      <c r="P321" s="37"/>
      <c r="Q321" s="684"/>
      <c r="R321" s="684"/>
      <c r="S321" s="684"/>
      <c r="T321" s="684"/>
      <c r="U321" s="37"/>
      <c r="V321" s="684"/>
      <c r="W321" s="37"/>
      <c r="X321" s="684"/>
      <c r="Y321" s="37"/>
      <c r="Z321" s="684"/>
      <c r="AA321" s="897"/>
      <c r="AB321" s="870"/>
      <c r="AC321" s="684"/>
      <c r="AD321" s="684"/>
      <c r="AE321" s="684"/>
      <c r="AF321" s="684"/>
      <c r="AG321" s="684"/>
      <c r="AH321" s="807">
        <f t="shared" si="83"/>
        <v>0</v>
      </c>
      <c r="AI321" s="937"/>
      <c r="AJ321" s="876"/>
      <c r="AK321" s="494"/>
      <c r="AL321" s="764"/>
      <c r="AM321" s="769">
        <f t="shared" si="84"/>
        <v>0</v>
      </c>
      <c r="AN321" s="881"/>
      <c r="AO321" s="882"/>
      <c r="AP321" s="870"/>
      <c r="AQ321" s="870"/>
      <c r="AR321" s="870"/>
      <c r="AS321" s="870"/>
      <c r="AT321" s="870"/>
      <c r="AU321" s="870"/>
      <c r="AV321" s="870"/>
      <c r="AW321" s="870"/>
      <c r="AX321" s="870"/>
      <c r="AY321" s="870"/>
      <c r="AZ321" s="870"/>
      <c r="BA321" s="870">
        <f t="shared" si="85"/>
        <v>0</v>
      </c>
    </row>
    <row r="322" spans="1:53" ht="18.75" x14ac:dyDescent="0.3">
      <c r="A322" s="957"/>
      <c r="B322" s="871"/>
      <c r="C322" s="955"/>
      <c r="D322" s="34"/>
      <c r="E322" s="684"/>
      <c r="F322" s="684"/>
      <c r="G322" s="684"/>
      <c r="H322" s="684"/>
      <c r="I322" s="684"/>
      <c r="J322" s="684"/>
      <c r="K322" s="684"/>
      <c r="L322" s="684"/>
      <c r="M322" s="684"/>
      <c r="N322" s="37"/>
      <c r="O322" s="684"/>
      <c r="P322" s="37"/>
      <c r="Q322" s="684"/>
      <c r="R322" s="684"/>
      <c r="S322" s="684"/>
      <c r="T322" s="684"/>
      <c r="U322" s="37"/>
      <c r="V322" s="684"/>
      <c r="W322" s="37"/>
      <c r="X322" s="684"/>
      <c r="Y322" s="37"/>
      <c r="Z322" s="684"/>
      <c r="AA322" s="897"/>
      <c r="AB322" s="870"/>
      <c r="AC322" s="684"/>
      <c r="AD322" s="684"/>
      <c r="AE322" s="684"/>
      <c r="AF322" s="684"/>
      <c r="AG322" s="684"/>
      <c r="AH322" s="1036">
        <f t="shared" si="83"/>
        <v>0</v>
      </c>
      <c r="AI322" s="940"/>
      <c r="AJ322" s="874"/>
      <c r="AK322" s="494"/>
      <c r="AL322" s="764"/>
      <c r="AM322" s="769">
        <f t="shared" si="84"/>
        <v>0</v>
      </c>
      <c r="AN322" s="881"/>
      <c r="AO322" s="882"/>
      <c r="AP322" s="870"/>
      <c r="AQ322" s="870"/>
      <c r="AR322" s="870"/>
      <c r="AS322" s="870"/>
      <c r="AT322" s="870"/>
      <c r="AU322" s="870"/>
      <c r="AV322" s="870"/>
      <c r="AW322" s="870"/>
      <c r="AX322" s="870"/>
      <c r="AY322" s="870"/>
      <c r="AZ322" s="870"/>
      <c r="BA322" s="870">
        <f t="shared" si="85"/>
        <v>0</v>
      </c>
    </row>
    <row r="323" spans="1:53" ht="18.75" x14ac:dyDescent="0.3">
      <c r="A323" s="957"/>
      <c r="B323" s="871"/>
      <c r="C323" s="955"/>
      <c r="D323" s="34"/>
      <c r="E323" s="684"/>
      <c r="F323" s="684"/>
      <c r="G323" s="684"/>
      <c r="H323" s="684"/>
      <c r="I323" s="684"/>
      <c r="J323" s="684"/>
      <c r="K323" s="684"/>
      <c r="L323" s="684"/>
      <c r="M323" s="684"/>
      <c r="N323" s="37"/>
      <c r="O323" s="684"/>
      <c r="P323" s="37"/>
      <c r="Q323" s="684"/>
      <c r="R323" s="684"/>
      <c r="S323" s="684"/>
      <c r="T323" s="684"/>
      <c r="U323" s="37"/>
      <c r="V323" s="684"/>
      <c r="W323" s="37"/>
      <c r="X323" s="684"/>
      <c r="Y323" s="37"/>
      <c r="Z323" s="684"/>
      <c r="AA323" s="897"/>
      <c r="AB323" s="870"/>
      <c r="AC323" s="684"/>
      <c r="AD323" s="684"/>
      <c r="AE323" s="684"/>
      <c r="AF323" s="684"/>
      <c r="AG323" s="684"/>
      <c r="AH323" s="807">
        <f t="shared" si="83"/>
        <v>0</v>
      </c>
      <c r="AI323" s="940"/>
      <c r="AJ323" s="874"/>
      <c r="AK323" s="494"/>
      <c r="AL323" s="764"/>
      <c r="AM323" s="769">
        <f t="shared" si="84"/>
        <v>0</v>
      </c>
      <c r="AN323" s="881"/>
      <c r="AO323" s="886"/>
      <c r="AP323" s="886"/>
      <c r="AQ323" s="870"/>
      <c r="AR323" s="870"/>
      <c r="AS323" s="870"/>
      <c r="AT323" s="870"/>
      <c r="AU323" s="870"/>
      <c r="AV323" s="870"/>
      <c r="AW323" s="870"/>
      <c r="AX323" s="870"/>
      <c r="AY323" s="870"/>
      <c r="AZ323" s="870"/>
      <c r="BA323" s="870">
        <f t="shared" si="85"/>
        <v>0</v>
      </c>
    </row>
    <row r="324" spans="1:53" ht="18.75" x14ac:dyDescent="0.3">
      <c r="A324" s="1079"/>
      <c r="B324" s="171"/>
      <c r="C324" s="955"/>
      <c r="D324" s="34"/>
      <c r="E324" s="684"/>
      <c r="F324" s="684"/>
      <c r="G324" s="684"/>
      <c r="H324" s="684"/>
      <c r="I324" s="684"/>
      <c r="J324" s="684"/>
      <c r="K324" s="684"/>
      <c r="L324" s="684"/>
      <c r="M324" s="684"/>
      <c r="N324" s="37"/>
      <c r="O324" s="684"/>
      <c r="P324" s="37"/>
      <c r="Q324" s="684"/>
      <c r="R324" s="684"/>
      <c r="S324" s="684"/>
      <c r="T324" s="684"/>
      <c r="U324" s="37"/>
      <c r="V324" s="684"/>
      <c r="W324" s="37"/>
      <c r="X324" s="684"/>
      <c r="Y324" s="37"/>
      <c r="Z324" s="684"/>
      <c r="AA324" s="897"/>
      <c r="AB324" s="870"/>
      <c r="AC324" s="684"/>
      <c r="AD324" s="684"/>
      <c r="AE324" s="684"/>
      <c r="AF324" s="684"/>
      <c r="AG324" s="684"/>
      <c r="AH324" s="807">
        <f t="shared" si="83"/>
        <v>0</v>
      </c>
      <c r="AI324" s="937"/>
      <c r="AJ324" s="42"/>
      <c r="AK324" s="494"/>
      <c r="AL324" s="764"/>
      <c r="AM324" s="769">
        <f t="shared" si="84"/>
        <v>0</v>
      </c>
      <c r="AN324" s="881"/>
      <c r="AO324" s="882"/>
      <c r="AP324" s="883"/>
      <c r="AQ324" s="883"/>
      <c r="AR324" s="883"/>
      <c r="AS324" s="883"/>
      <c r="AT324" s="883"/>
      <c r="AU324" s="883"/>
      <c r="AV324" s="883"/>
      <c r="AW324" s="883"/>
      <c r="AX324" s="883"/>
      <c r="AY324" s="883"/>
      <c r="AZ324" s="883"/>
      <c r="BA324" s="870">
        <f t="shared" si="85"/>
        <v>0</v>
      </c>
    </row>
    <row r="325" spans="1:53" ht="18.75" x14ac:dyDescent="0.3">
      <c r="A325" s="1079"/>
      <c r="B325" s="171"/>
      <c r="C325" s="955"/>
      <c r="D325" s="41"/>
      <c r="E325" s="684"/>
      <c r="F325" s="684"/>
      <c r="G325" s="684"/>
      <c r="H325" s="684"/>
      <c r="I325" s="684"/>
      <c r="J325" s="684"/>
      <c r="K325" s="684"/>
      <c r="L325" s="684"/>
      <c r="M325" s="684"/>
      <c r="N325" s="37"/>
      <c r="O325" s="684"/>
      <c r="P325" s="37"/>
      <c r="Q325" s="684"/>
      <c r="R325" s="684"/>
      <c r="S325" s="684"/>
      <c r="T325" s="684"/>
      <c r="U325" s="37"/>
      <c r="V325" s="684"/>
      <c r="W325" s="37"/>
      <c r="X325" s="684"/>
      <c r="Y325" s="37"/>
      <c r="Z325" s="684"/>
      <c r="AA325" s="897"/>
      <c r="AB325" s="870"/>
      <c r="AC325" s="684"/>
      <c r="AD325" s="684"/>
      <c r="AE325" s="684"/>
      <c r="AF325" s="684"/>
      <c r="AG325" s="684"/>
      <c r="AH325" s="807">
        <f t="shared" si="83"/>
        <v>0</v>
      </c>
      <c r="AI325" s="937"/>
      <c r="AJ325" s="42"/>
      <c r="AK325" s="494"/>
      <c r="AL325" s="764"/>
      <c r="AM325" s="769">
        <f t="shared" si="84"/>
        <v>0</v>
      </c>
      <c r="AN325" s="881"/>
      <c r="AO325" s="882"/>
      <c r="AP325" s="883"/>
      <c r="AQ325" s="883"/>
      <c r="AR325" s="883"/>
      <c r="AS325" s="883"/>
      <c r="AT325" s="883"/>
      <c r="AU325" s="883"/>
      <c r="AV325" s="883"/>
      <c r="AW325" s="883"/>
      <c r="AX325" s="883"/>
      <c r="AY325" s="883"/>
      <c r="AZ325" s="883"/>
      <c r="BA325" s="870">
        <f t="shared" si="85"/>
        <v>0</v>
      </c>
    </row>
    <row r="326" spans="1:53" ht="18.75" x14ac:dyDescent="0.3">
      <c r="A326" s="1079"/>
      <c r="B326" s="171"/>
      <c r="C326" s="955"/>
      <c r="D326" s="34"/>
      <c r="E326" s="684"/>
      <c r="F326" s="684"/>
      <c r="G326" s="684"/>
      <c r="H326" s="684"/>
      <c r="I326" s="684"/>
      <c r="J326" s="684"/>
      <c r="K326" s="684"/>
      <c r="L326" s="684"/>
      <c r="M326" s="684"/>
      <c r="N326" s="37"/>
      <c r="O326" s="684"/>
      <c r="P326" s="37"/>
      <c r="Q326" s="684"/>
      <c r="R326" s="684"/>
      <c r="S326" s="684"/>
      <c r="T326" s="684"/>
      <c r="U326" s="37"/>
      <c r="V326" s="684"/>
      <c r="W326" s="37"/>
      <c r="X326" s="684"/>
      <c r="Y326" s="37"/>
      <c r="Z326" s="684"/>
      <c r="AA326" s="897"/>
      <c r="AB326" s="870"/>
      <c r="AC326" s="684"/>
      <c r="AD326" s="684"/>
      <c r="AE326" s="684"/>
      <c r="AF326" s="684"/>
      <c r="AG326" s="684"/>
      <c r="AH326" s="807">
        <f t="shared" si="83"/>
        <v>0</v>
      </c>
      <c r="AI326" s="937"/>
      <c r="AJ326" s="42"/>
      <c r="AK326" s="494"/>
      <c r="AL326" s="764"/>
      <c r="AM326" s="769">
        <f t="shared" si="84"/>
        <v>0</v>
      </c>
      <c r="AN326" s="881"/>
      <c r="AO326" s="882"/>
      <c r="AP326" s="883"/>
      <c r="AQ326" s="883"/>
      <c r="AR326" s="883"/>
      <c r="AS326" s="883"/>
      <c r="AT326" s="883"/>
      <c r="AU326" s="883"/>
      <c r="AV326" s="883"/>
      <c r="AW326" s="883"/>
      <c r="AX326" s="883"/>
      <c r="AY326" s="883"/>
      <c r="AZ326" s="883"/>
      <c r="BA326" s="870">
        <f t="shared" si="85"/>
        <v>0</v>
      </c>
    </row>
    <row r="327" spans="1:53" ht="18.75" x14ac:dyDescent="0.3">
      <c r="A327" s="1079"/>
      <c r="B327" s="171"/>
      <c r="C327" s="955"/>
      <c r="D327" s="34"/>
      <c r="E327" s="684"/>
      <c r="F327" s="684"/>
      <c r="G327" s="684"/>
      <c r="H327" s="684"/>
      <c r="I327" s="684"/>
      <c r="J327" s="684"/>
      <c r="K327" s="684"/>
      <c r="L327" s="684"/>
      <c r="M327" s="684"/>
      <c r="N327" s="37"/>
      <c r="O327" s="684"/>
      <c r="P327" s="37"/>
      <c r="Q327" s="684"/>
      <c r="R327" s="684"/>
      <c r="S327" s="684"/>
      <c r="T327" s="684"/>
      <c r="U327" s="37"/>
      <c r="V327" s="684"/>
      <c r="W327" s="37"/>
      <c r="X327" s="684"/>
      <c r="Y327" s="37"/>
      <c r="Z327" s="684"/>
      <c r="AA327" s="897"/>
      <c r="AB327" s="870"/>
      <c r="AC327" s="684"/>
      <c r="AD327" s="684"/>
      <c r="AE327" s="684"/>
      <c r="AF327" s="684"/>
      <c r="AG327" s="684"/>
      <c r="AH327" s="807">
        <f t="shared" si="83"/>
        <v>0</v>
      </c>
      <c r="AI327" s="937"/>
      <c r="AJ327" s="42"/>
      <c r="AK327" s="494"/>
      <c r="AL327" s="764"/>
      <c r="AM327" s="769">
        <f t="shared" si="84"/>
        <v>0</v>
      </c>
      <c r="AN327" s="881"/>
      <c r="AO327" s="882"/>
      <c r="AP327" s="883"/>
      <c r="AQ327" s="883"/>
      <c r="AR327" s="883"/>
      <c r="AS327" s="883"/>
      <c r="AT327" s="883"/>
      <c r="AU327" s="883"/>
      <c r="AV327" s="883"/>
      <c r="AW327" s="883"/>
      <c r="AX327" s="883"/>
      <c r="AY327" s="883"/>
      <c r="AZ327" s="883"/>
      <c r="BA327" s="870">
        <f t="shared" si="85"/>
        <v>0</v>
      </c>
    </row>
    <row r="328" spans="1:53" ht="18.75" x14ac:dyDescent="0.3">
      <c r="A328" s="1079"/>
      <c r="B328" s="171"/>
      <c r="C328" s="955"/>
      <c r="D328" s="34"/>
      <c r="E328" s="684"/>
      <c r="F328" s="684"/>
      <c r="G328" s="684"/>
      <c r="H328" s="684"/>
      <c r="I328" s="684"/>
      <c r="J328" s="684"/>
      <c r="K328" s="684"/>
      <c r="L328" s="684"/>
      <c r="M328" s="684"/>
      <c r="N328" s="37"/>
      <c r="O328" s="684"/>
      <c r="P328" s="37"/>
      <c r="Q328" s="684"/>
      <c r="R328" s="684"/>
      <c r="S328" s="684"/>
      <c r="T328" s="684"/>
      <c r="U328" s="37"/>
      <c r="V328" s="684"/>
      <c r="W328" s="37"/>
      <c r="X328" s="684"/>
      <c r="Y328" s="37"/>
      <c r="Z328" s="684"/>
      <c r="AA328" s="897"/>
      <c r="AB328" s="870"/>
      <c r="AC328" s="684"/>
      <c r="AD328" s="684"/>
      <c r="AE328" s="684"/>
      <c r="AF328" s="684"/>
      <c r="AG328" s="684"/>
      <c r="AH328" s="807">
        <f t="shared" si="83"/>
        <v>0</v>
      </c>
      <c r="AI328" s="937"/>
      <c r="AJ328" s="42"/>
      <c r="AK328" s="494"/>
      <c r="AL328" s="764"/>
      <c r="AM328" s="769">
        <f t="shared" si="84"/>
        <v>0</v>
      </c>
      <c r="AN328" s="881"/>
      <c r="AO328" s="882"/>
      <c r="AP328" s="883"/>
      <c r="AQ328" s="883"/>
      <c r="AR328" s="883"/>
      <c r="AS328" s="883"/>
      <c r="AT328" s="883"/>
      <c r="AU328" s="883"/>
      <c r="AV328" s="883"/>
      <c r="AW328" s="883"/>
      <c r="AX328" s="883"/>
      <c r="AY328" s="883"/>
      <c r="AZ328" s="883"/>
      <c r="BA328" s="870">
        <f t="shared" si="85"/>
        <v>0</v>
      </c>
    </row>
    <row r="329" spans="1:53" ht="18.75" x14ac:dyDescent="0.3">
      <c r="A329" s="1079"/>
      <c r="B329" s="171"/>
      <c r="C329" s="955"/>
      <c r="D329" s="140"/>
      <c r="E329" s="684"/>
      <c r="F329" s="684"/>
      <c r="G329" s="684"/>
      <c r="H329" s="684"/>
      <c r="I329" s="1078"/>
      <c r="J329" s="684"/>
      <c r="K329" s="684"/>
      <c r="L329" s="684"/>
      <c r="M329" s="684"/>
      <c r="N329" s="37"/>
      <c r="O329" s="684"/>
      <c r="P329" s="37"/>
      <c r="Q329" s="684"/>
      <c r="R329" s="684"/>
      <c r="S329" s="684"/>
      <c r="T329" s="684"/>
      <c r="U329" s="37"/>
      <c r="V329" s="684"/>
      <c r="W329" s="37"/>
      <c r="X329" s="684"/>
      <c r="Y329" s="37"/>
      <c r="Z329" s="684"/>
      <c r="AA329" s="897"/>
      <c r="AB329" s="870"/>
      <c r="AC329" s="684"/>
      <c r="AD329" s="684"/>
      <c r="AE329" s="684"/>
      <c r="AF329" s="684"/>
      <c r="AG329" s="684"/>
      <c r="AH329" s="807">
        <f t="shared" si="83"/>
        <v>0</v>
      </c>
      <c r="AI329" s="937"/>
      <c r="AJ329" s="42"/>
      <c r="AK329" s="494"/>
      <c r="AL329" s="764"/>
      <c r="AM329" s="769">
        <f t="shared" si="84"/>
        <v>0</v>
      </c>
      <c r="AN329" s="881"/>
      <c r="AO329" s="882"/>
      <c r="AP329" s="883"/>
      <c r="AQ329" s="883"/>
      <c r="AR329" s="883"/>
      <c r="AS329" s="883"/>
      <c r="AT329" s="883"/>
      <c r="AU329" s="883"/>
      <c r="AV329" s="883"/>
      <c r="AW329" s="883"/>
      <c r="AX329" s="883"/>
      <c r="AY329" s="883"/>
      <c r="AZ329" s="883"/>
      <c r="BA329" s="870">
        <f t="shared" si="85"/>
        <v>0</v>
      </c>
    </row>
    <row r="330" spans="1:53" ht="18.75" x14ac:dyDescent="0.3">
      <c r="A330" s="1079"/>
      <c r="B330" s="171"/>
      <c r="C330" s="955"/>
      <c r="D330" s="140"/>
      <c r="E330" s="684"/>
      <c r="F330" s="684"/>
      <c r="G330" s="684"/>
      <c r="H330" s="684"/>
      <c r="I330" s="684"/>
      <c r="J330" s="684"/>
      <c r="K330" s="684"/>
      <c r="L330" s="684"/>
      <c r="M330" s="684"/>
      <c r="N330" s="37"/>
      <c r="O330" s="684"/>
      <c r="P330" s="55"/>
      <c r="Q330" s="684"/>
      <c r="R330" s="684"/>
      <c r="S330" s="684"/>
      <c r="T330" s="684"/>
      <c r="U330" s="37"/>
      <c r="V330" s="684"/>
      <c r="W330" s="37"/>
      <c r="X330" s="684"/>
      <c r="Y330" s="37"/>
      <c r="Z330" s="684"/>
      <c r="AA330" s="897"/>
      <c r="AB330" s="870"/>
      <c r="AC330" s="684"/>
      <c r="AD330" s="684"/>
      <c r="AE330" s="684"/>
      <c r="AF330" s="684"/>
      <c r="AG330" s="684"/>
      <c r="AH330" s="807">
        <f t="shared" si="83"/>
        <v>0</v>
      </c>
      <c r="AI330" s="937"/>
      <c r="AJ330" s="42"/>
      <c r="AK330" s="494"/>
      <c r="AL330" s="764"/>
      <c r="AM330" s="769">
        <f t="shared" si="84"/>
        <v>0</v>
      </c>
      <c r="AN330" s="881"/>
      <c r="AO330" s="882"/>
      <c r="AP330" s="883"/>
      <c r="AQ330" s="883"/>
      <c r="AR330" s="883"/>
      <c r="AS330" s="883"/>
      <c r="AT330" s="883"/>
      <c r="AU330" s="883"/>
      <c r="AV330" s="883"/>
      <c r="AW330" s="883"/>
      <c r="AX330" s="883"/>
      <c r="AY330" s="883"/>
      <c r="AZ330" s="883"/>
      <c r="BA330" s="870">
        <f t="shared" si="85"/>
        <v>0</v>
      </c>
    </row>
    <row r="331" spans="1:53" ht="18.75" x14ac:dyDescent="0.3">
      <c r="A331" s="1079"/>
      <c r="B331" s="171"/>
      <c r="C331" s="955"/>
      <c r="D331" s="140"/>
      <c r="E331" s="684"/>
      <c r="F331" s="684"/>
      <c r="G331" s="684"/>
      <c r="H331" s="684"/>
      <c r="I331" s="684"/>
      <c r="J331" s="684"/>
      <c r="K331" s="684"/>
      <c r="L331" s="1078"/>
      <c r="M331" s="684"/>
      <c r="N331" s="37"/>
      <c r="O331" s="684"/>
      <c r="P331" s="37"/>
      <c r="Q331" s="684"/>
      <c r="R331" s="684"/>
      <c r="S331" s="684"/>
      <c r="T331" s="684"/>
      <c r="U331" s="37"/>
      <c r="V331" s="684"/>
      <c r="W331" s="37"/>
      <c r="X331" s="684"/>
      <c r="Y331" s="37"/>
      <c r="Z331" s="684"/>
      <c r="AA331" s="897"/>
      <c r="AB331" s="870"/>
      <c r="AC331" s="684"/>
      <c r="AD331" s="684"/>
      <c r="AE331" s="684"/>
      <c r="AF331" s="684"/>
      <c r="AG331" s="684"/>
      <c r="AH331" s="807">
        <f t="shared" si="83"/>
        <v>0</v>
      </c>
      <c r="AI331" s="937"/>
      <c r="AJ331" s="42"/>
      <c r="AK331" s="494"/>
      <c r="AL331" s="764"/>
      <c r="AM331" s="769">
        <f t="shared" si="84"/>
        <v>0</v>
      </c>
      <c r="AN331" s="881"/>
      <c r="AO331" s="882"/>
      <c r="AP331" s="883"/>
      <c r="AQ331" s="883"/>
      <c r="AR331" s="883"/>
      <c r="AS331" s="883"/>
      <c r="AT331" s="883"/>
      <c r="AU331" s="883"/>
      <c r="AV331" s="883"/>
      <c r="AW331" s="883"/>
      <c r="AX331" s="883"/>
      <c r="AY331" s="883"/>
      <c r="AZ331" s="883"/>
      <c r="BA331" s="870">
        <f t="shared" si="85"/>
        <v>0</v>
      </c>
    </row>
    <row r="332" spans="1:53" ht="18.75" x14ac:dyDescent="0.3">
      <c r="A332" s="1079"/>
      <c r="B332" s="171"/>
      <c r="C332" s="955"/>
      <c r="D332" s="140"/>
      <c r="E332" s="684"/>
      <c r="F332" s="684"/>
      <c r="G332" s="684"/>
      <c r="H332" s="684"/>
      <c r="I332" s="684"/>
      <c r="J332" s="684"/>
      <c r="K332" s="684"/>
      <c r="L332" s="684"/>
      <c r="M332" s="1080"/>
      <c r="N332" s="37"/>
      <c r="O332" s="684"/>
      <c r="P332" s="37"/>
      <c r="Q332" s="684"/>
      <c r="R332" s="684"/>
      <c r="S332" s="684"/>
      <c r="T332" s="684"/>
      <c r="U332" s="37"/>
      <c r="V332" s="684"/>
      <c r="W332" s="37"/>
      <c r="X332" s="684"/>
      <c r="Y332" s="37"/>
      <c r="Z332" s="684"/>
      <c r="AA332" s="897"/>
      <c r="AB332" s="870"/>
      <c r="AC332" s="684"/>
      <c r="AD332" s="684"/>
      <c r="AE332" s="684"/>
      <c r="AF332" s="684"/>
      <c r="AG332" s="684"/>
      <c r="AH332" s="807">
        <f t="shared" si="83"/>
        <v>0</v>
      </c>
      <c r="AI332" s="937"/>
      <c r="AJ332" s="42"/>
      <c r="AK332" s="494"/>
      <c r="AL332" s="764"/>
      <c r="AM332" s="769">
        <f t="shared" si="84"/>
        <v>0</v>
      </c>
      <c r="AN332" s="881"/>
      <c r="AO332" s="882"/>
      <c r="AP332" s="883"/>
      <c r="AQ332" s="883"/>
      <c r="AR332" s="883"/>
      <c r="AS332" s="883"/>
      <c r="AT332" s="883"/>
      <c r="AU332" s="883"/>
      <c r="AV332" s="883"/>
      <c r="AW332" s="883"/>
      <c r="AX332" s="883"/>
      <c r="AY332" s="883"/>
      <c r="AZ332" s="883"/>
      <c r="BA332" s="870">
        <f t="shared" si="85"/>
        <v>0</v>
      </c>
    </row>
    <row r="333" spans="1:53" ht="18.75" x14ac:dyDescent="0.3">
      <c r="A333" s="1079"/>
      <c r="B333" s="171"/>
      <c r="C333" s="955"/>
      <c r="D333" s="140"/>
      <c r="E333" s="684"/>
      <c r="F333" s="684"/>
      <c r="G333" s="684"/>
      <c r="H333" s="684"/>
      <c r="I333" s="684"/>
      <c r="J333" s="684"/>
      <c r="K333" s="684"/>
      <c r="L333" s="1080"/>
      <c r="M333" s="684"/>
      <c r="N333" s="37"/>
      <c r="O333" s="684"/>
      <c r="P333" s="37"/>
      <c r="Q333" s="684"/>
      <c r="R333" s="684"/>
      <c r="S333" s="684"/>
      <c r="T333" s="684"/>
      <c r="U333" s="37"/>
      <c r="V333" s="684"/>
      <c r="W333" s="37"/>
      <c r="X333" s="684"/>
      <c r="Y333" s="37"/>
      <c r="Z333" s="684"/>
      <c r="AA333" s="897"/>
      <c r="AB333" s="870"/>
      <c r="AC333" s="684"/>
      <c r="AD333" s="684"/>
      <c r="AE333" s="684"/>
      <c r="AF333" s="684"/>
      <c r="AG333" s="684"/>
      <c r="AH333" s="807">
        <f t="shared" si="83"/>
        <v>0</v>
      </c>
      <c r="AI333" s="937"/>
      <c r="AJ333" s="42"/>
      <c r="AK333" s="494"/>
      <c r="AL333" s="764"/>
      <c r="AM333" s="769">
        <f t="shared" si="84"/>
        <v>0</v>
      </c>
      <c r="AN333" s="881"/>
      <c r="AO333" s="882"/>
      <c r="AP333" s="883"/>
      <c r="AQ333" s="883"/>
      <c r="AR333" s="883"/>
      <c r="AS333" s="883"/>
      <c r="AT333" s="883"/>
      <c r="AU333" s="883"/>
      <c r="AV333" s="883"/>
      <c r="AW333" s="883"/>
      <c r="AX333" s="883"/>
      <c r="AY333" s="883"/>
      <c r="AZ333" s="883"/>
      <c r="BA333" s="870">
        <f t="shared" si="85"/>
        <v>0</v>
      </c>
    </row>
    <row r="334" spans="1:53" ht="18.75" x14ac:dyDescent="0.3">
      <c r="A334" s="1031"/>
      <c r="B334" s="1081"/>
      <c r="C334" s="1033"/>
      <c r="D334" s="1034"/>
      <c r="E334" s="916"/>
      <c r="F334" s="916"/>
      <c r="G334" s="916"/>
      <c r="H334" s="916"/>
      <c r="I334" s="916"/>
      <c r="J334" s="916"/>
      <c r="K334" s="916"/>
      <c r="L334" s="916"/>
      <c r="M334" s="916"/>
      <c r="N334" s="888"/>
      <c r="O334" s="916"/>
      <c r="P334" s="888"/>
      <c r="Q334" s="916"/>
      <c r="R334" s="916"/>
      <c r="S334" s="916"/>
      <c r="T334" s="916"/>
      <c r="U334" s="888"/>
      <c r="V334" s="916"/>
      <c r="W334" s="888"/>
      <c r="X334" s="916"/>
      <c r="Y334" s="888"/>
      <c r="Z334" s="916"/>
      <c r="AA334" s="898"/>
      <c r="AB334" s="888"/>
      <c r="AC334" s="916"/>
      <c r="AD334" s="916"/>
      <c r="AE334" s="916"/>
      <c r="AF334" s="916"/>
      <c r="AG334" s="916"/>
      <c r="AH334" s="1049">
        <f t="shared" si="83"/>
        <v>0</v>
      </c>
      <c r="AI334" s="937"/>
      <c r="AJ334" s="42"/>
      <c r="AK334" s="494"/>
      <c r="AL334" s="764"/>
      <c r="AM334" s="769">
        <f t="shared" si="84"/>
        <v>0</v>
      </c>
      <c r="AN334" s="881"/>
      <c r="AO334" s="882"/>
      <c r="AP334" s="870"/>
      <c r="AQ334" s="870"/>
      <c r="AR334" s="870"/>
      <c r="AS334" s="870"/>
      <c r="AT334" s="870"/>
      <c r="AU334" s="870"/>
      <c r="AV334" s="870"/>
      <c r="AW334" s="870"/>
      <c r="AX334" s="870"/>
      <c r="AY334" s="870"/>
      <c r="AZ334" s="870"/>
      <c r="BA334" s="870">
        <f t="shared" si="85"/>
        <v>0</v>
      </c>
    </row>
    <row r="335" spans="1:53" ht="18.75" customHeight="1" x14ac:dyDescent="0.3">
      <c r="A335" s="742"/>
      <c r="B335" s="506"/>
      <c r="C335" s="482"/>
      <c r="D335" s="507" t="s">
        <v>257</v>
      </c>
      <c r="E335" s="156">
        <f t="shared" ref="E335:AG335" si="86">SUM(E314:E334)</f>
        <v>0</v>
      </c>
      <c r="F335" s="156">
        <f t="shared" si="86"/>
        <v>0</v>
      </c>
      <c r="G335" s="156">
        <f t="shared" si="86"/>
        <v>0</v>
      </c>
      <c r="H335" s="156">
        <f t="shared" si="86"/>
        <v>0</v>
      </c>
      <c r="I335" s="156">
        <f t="shared" si="86"/>
        <v>0</v>
      </c>
      <c r="J335" s="156">
        <f t="shared" si="86"/>
        <v>0</v>
      </c>
      <c r="K335" s="156">
        <f t="shared" si="86"/>
        <v>0</v>
      </c>
      <c r="L335" s="156">
        <f t="shared" si="86"/>
        <v>0</v>
      </c>
      <c r="M335" s="156">
        <f t="shared" si="86"/>
        <v>0</v>
      </c>
      <c r="N335" s="508">
        <f t="shared" si="86"/>
        <v>0</v>
      </c>
      <c r="O335" s="156">
        <f t="shared" si="86"/>
        <v>0</v>
      </c>
      <c r="P335" s="156">
        <f t="shared" si="86"/>
        <v>0</v>
      </c>
      <c r="Q335" s="156">
        <f t="shared" si="86"/>
        <v>0</v>
      </c>
      <c r="R335" s="156">
        <f t="shared" si="86"/>
        <v>0</v>
      </c>
      <c r="S335" s="156">
        <f t="shared" si="86"/>
        <v>0</v>
      </c>
      <c r="T335" s="156">
        <f t="shared" si="86"/>
        <v>0</v>
      </c>
      <c r="U335" s="156">
        <f t="shared" si="86"/>
        <v>0</v>
      </c>
      <c r="V335" s="156">
        <f t="shared" si="86"/>
        <v>0</v>
      </c>
      <c r="W335" s="156">
        <f t="shared" si="86"/>
        <v>0</v>
      </c>
      <c r="X335" s="156">
        <f t="shared" si="86"/>
        <v>0</v>
      </c>
      <c r="Y335" s="156">
        <f t="shared" si="86"/>
        <v>0</v>
      </c>
      <c r="Z335" s="156">
        <f t="shared" si="86"/>
        <v>0</v>
      </c>
      <c r="AA335" s="902">
        <f t="shared" si="86"/>
        <v>0</v>
      </c>
      <c r="AB335" s="508">
        <f t="shared" si="86"/>
        <v>0</v>
      </c>
      <c r="AC335" s="156">
        <f t="shared" si="86"/>
        <v>0</v>
      </c>
      <c r="AD335" s="156">
        <f t="shared" si="86"/>
        <v>0</v>
      </c>
      <c r="AE335" s="156">
        <f t="shared" si="86"/>
        <v>0</v>
      </c>
      <c r="AF335" s="156">
        <f t="shared" si="86"/>
        <v>0</v>
      </c>
      <c r="AG335" s="156">
        <f t="shared" si="86"/>
        <v>0</v>
      </c>
      <c r="AH335" s="786">
        <f t="shared" si="83"/>
        <v>0</v>
      </c>
      <c r="AI335" s="1082"/>
      <c r="AJ335" s="490"/>
      <c r="AK335" s="509"/>
      <c r="AL335" s="765"/>
      <c r="AM335" s="769"/>
      <c r="AN335" s="396"/>
      <c r="AO335" s="397"/>
      <c r="AP335" s="37"/>
      <c r="AQ335" s="491"/>
      <c r="AR335" s="491"/>
      <c r="AS335" s="491"/>
      <c r="AT335" s="491"/>
      <c r="AU335" s="491"/>
      <c r="AV335" s="491"/>
      <c r="AW335" s="491"/>
      <c r="AX335" s="491"/>
      <c r="AY335" s="491"/>
      <c r="AZ335" s="491"/>
      <c r="BA335" s="491"/>
    </row>
    <row r="336" spans="1:53" ht="18.75" customHeight="1" x14ac:dyDescent="0.3">
      <c r="A336" s="742"/>
      <c r="B336" s="506"/>
      <c r="C336" s="482"/>
      <c r="D336" s="507" t="s">
        <v>258</v>
      </c>
      <c r="E336" s="150">
        <f t="shared" ref="E336:AG336" si="87">SUM(E312+E335)</f>
        <v>88126.2</v>
      </c>
      <c r="F336" s="150">
        <f t="shared" si="87"/>
        <v>104149.33</v>
      </c>
      <c r="G336" s="150">
        <f t="shared" si="87"/>
        <v>6305</v>
      </c>
      <c r="H336" s="150">
        <f t="shared" si="87"/>
        <v>0</v>
      </c>
      <c r="I336" s="150">
        <f t="shared" si="87"/>
        <v>0</v>
      </c>
      <c r="J336" s="150">
        <f t="shared" si="87"/>
        <v>2600</v>
      </c>
      <c r="K336" s="150">
        <f t="shared" si="87"/>
        <v>0</v>
      </c>
      <c r="L336" s="150">
        <f t="shared" si="87"/>
        <v>54590</v>
      </c>
      <c r="M336" s="150">
        <f t="shared" si="87"/>
        <v>330000</v>
      </c>
      <c r="N336" s="510">
        <f t="shared" si="87"/>
        <v>23600</v>
      </c>
      <c r="O336" s="150">
        <f t="shared" si="87"/>
        <v>55717</v>
      </c>
      <c r="P336" s="150">
        <f t="shared" si="87"/>
        <v>87210</v>
      </c>
      <c r="Q336" s="150">
        <f t="shared" si="87"/>
        <v>0</v>
      </c>
      <c r="R336" s="150">
        <f t="shared" si="87"/>
        <v>0</v>
      </c>
      <c r="S336" s="150">
        <f t="shared" si="87"/>
        <v>0</v>
      </c>
      <c r="T336" s="150">
        <f t="shared" si="87"/>
        <v>214000</v>
      </c>
      <c r="U336" s="150">
        <f t="shared" si="87"/>
        <v>0</v>
      </c>
      <c r="V336" s="150">
        <f t="shared" si="87"/>
        <v>98000</v>
      </c>
      <c r="W336" s="150">
        <f t="shared" si="87"/>
        <v>1657002</v>
      </c>
      <c r="X336" s="150">
        <f t="shared" si="87"/>
        <v>1620000</v>
      </c>
      <c r="Y336" s="150">
        <f t="shared" si="87"/>
        <v>0</v>
      </c>
      <c r="Z336" s="150">
        <f t="shared" si="87"/>
        <v>99296</v>
      </c>
      <c r="AA336" s="903">
        <f t="shared" si="87"/>
        <v>152876.25</v>
      </c>
      <c r="AB336" s="510">
        <f t="shared" si="87"/>
        <v>350000</v>
      </c>
      <c r="AC336" s="150">
        <f t="shared" si="87"/>
        <v>364200</v>
      </c>
      <c r="AD336" s="150">
        <f t="shared" si="87"/>
        <v>0</v>
      </c>
      <c r="AE336" s="150">
        <f t="shared" si="87"/>
        <v>515869</v>
      </c>
      <c r="AF336" s="150">
        <f t="shared" si="87"/>
        <v>0</v>
      </c>
      <c r="AG336" s="150">
        <f t="shared" si="87"/>
        <v>0</v>
      </c>
      <c r="AH336" s="786">
        <f t="shared" si="83"/>
        <v>5823540.7800000003</v>
      </c>
      <c r="AI336" s="1082"/>
      <c r="AJ336" s="490"/>
      <c r="AK336" s="509"/>
      <c r="AL336" s="765"/>
      <c r="AM336" s="769"/>
      <c r="AN336" s="396"/>
      <c r="AO336" s="397"/>
      <c r="AP336" s="37"/>
      <c r="AQ336" s="55"/>
      <c r="AR336" s="55"/>
      <c r="AS336" s="55"/>
      <c r="AT336" s="55"/>
      <c r="AU336" s="55"/>
      <c r="AV336" s="55"/>
      <c r="AW336" s="55"/>
      <c r="AX336" s="55"/>
      <c r="AY336" s="55"/>
      <c r="AZ336" s="55"/>
      <c r="BA336" s="55"/>
    </row>
    <row r="337" spans="1:53" ht="18.75" customHeight="1" x14ac:dyDescent="0.3">
      <c r="A337" s="743"/>
      <c r="B337" s="511"/>
      <c r="C337" s="484"/>
      <c r="D337" s="512" t="s">
        <v>259</v>
      </c>
      <c r="E337" s="153">
        <f t="shared" ref="E337:AG337" si="88">SUM(E313-E335)</f>
        <v>655373.80000000005</v>
      </c>
      <c r="F337" s="153">
        <f t="shared" si="88"/>
        <v>195850.66999999998</v>
      </c>
      <c r="G337" s="153">
        <f t="shared" si="88"/>
        <v>26095</v>
      </c>
      <c r="H337" s="153">
        <f t="shared" si="88"/>
        <v>0</v>
      </c>
      <c r="I337" s="153">
        <f t="shared" si="88"/>
        <v>0</v>
      </c>
      <c r="J337" s="153">
        <f t="shared" si="88"/>
        <v>-2600</v>
      </c>
      <c r="K337" s="153">
        <f t="shared" si="88"/>
        <v>0</v>
      </c>
      <c r="L337" s="153">
        <f t="shared" si="88"/>
        <v>93310</v>
      </c>
      <c r="M337" s="153">
        <f t="shared" si="88"/>
        <v>-376700</v>
      </c>
      <c r="N337" s="513">
        <f t="shared" si="88"/>
        <v>-23600</v>
      </c>
      <c r="O337" s="153">
        <f t="shared" si="88"/>
        <v>594283</v>
      </c>
      <c r="P337" s="153">
        <f t="shared" si="88"/>
        <v>79490</v>
      </c>
      <c r="Q337" s="153">
        <f t="shared" si="88"/>
        <v>1573400</v>
      </c>
      <c r="R337" s="153">
        <f t="shared" si="88"/>
        <v>0</v>
      </c>
      <c r="S337" s="153">
        <f t="shared" si="88"/>
        <v>0</v>
      </c>
      <c r="T337" s="153">
        <f t="shared" si="88"/>
        <v>100000</v>
      </c>
      <c r="U337" s="153">
        <f t="shared" si="88"/>
        <v>488945</v>
      </c>
      <c r="V337" s="153">
        <f t="shared" si="88"/>
        <v>76900</v>
      </c>
      <c r="W337" s="153">
        <f t="shared" si="88"/>
        <v>-363343</v>
      </c>
      <c r="X337" s="153">
        <f t="shared" si="88"/>
        <v>-15200</v>
      </c>
      <c r="Y337" s="153">
        <f t="shared" si="88"/>
        <v>289600</v>
      </c>
      <c r="Z337" s="153">
        <f t="shared" si="88"/>
        <v>100000</v>
      </c>
      <c r="AA337" s="904">
        <f t="shared" si="88"/>
        <v>107123.75</v>
      </c>
      <c r="AB337" s="513">
        <f t="shared" si="88"/>
        <v>-75200</v>
      </c>
      <c r="AC337" s="153">
        <f t="shared" si="88"/>
        <v>-166200</v>
      </c>
      <c r="AD337" s="153">
        <f t="shared" si="88"/>
        <v>0</v>
      </c>
      <c r="AE337" s="153">
        <f t="shared" si="88"/>
        <v>7984131</v>
      </c>
      <c r="AF337" s="153">
        <f t="shared" si="88"/>
        <v>716400</v>
      </c>
      <c r="AG337" s="153">
        <f t="shared" si="88"/>
        <v>1113800</v>
      </c>
      <c r="AH337" s="787">
        <f t="shared" si="83"/>
        <v>13171859.219999999</v>
      </c>
      <c r="AI337" s="1082"/>
      <c r="AJ337" s="490"/>
      <c r="AK337" s="509"/>
      <c r="AL337" s="765"/>
      <c r="AM337" s="769"/>
      <c r="AN337" s="396"/>
      <c r="AO337" s="397"/>
      <c r="AP337" s="37"/>
      <c r="AQ337" s="55"/>
      <c r="AR337" s="55"/>
      <c r="AS337" s="55"/>
      <c r="AT337" s="55"/>
      <c r="AU337" s="55"/>
      <c r="AV337" s="55"/>
      <c r="AW337" s="55"/>
      <c r="AX337" s="55"/>
      <c r="AY337" s="55"/>
      <c r="AZ337" s="55"/>
      <c r="BA337" s="55"/>
    </row>
  </sheetData>
  <autoFilter ref="A2:BA329" xr:uid="{00000000-0009-0000-0000-000007000000}"/>
  <mergeCells count="2">
    <mergeCell ref="T1:AB1"/>
    <mergeCell ref="AE1:AG1"/>
  </mergeCells>
  <phoneticPr fontId="48" type="noConversion"/>
  <conditionalFormatting sqref="AJ171:BA171 AH171:AI179 AB171:AG190 AM172:BA190 AH180:AL190">
    <cfRule type="cellIs" dxfId="610" priority="45" stopIfTrue="1" operator="lessThan">
      <formula>0</formula>
    </cfRule>
  </conditionalFormatting>
  <conditionalFormatting sqref="A82:A105">
    <cfRule type="cellIs" dxfId="609" priority="33" stopIfTrue="1" operator="lessThan">
      <formula>0</formula>
    </cfRule>
  </conditionalFormatting>
  <conditionalFormatting sqref="AH167:AH169">
    <cfRule type="cellIs" dxfId="608" priority="65" stopIfTrue="1" operator="lessThan">
      <formula>0</formula>
    </cfRule>
  </conditionalFormatting>
  <conditionalFormatting sqref="AH215:AH217">
    <cfRule type="cellIs" dxfId="607" priority="66" stopIfTrue="1" operator="lessThan">
      <formula>0</formula>
    </cfRule>
  </conditionalFormatting>
  <conditionalFormatting sqref="E2:I3 AJ7:AL15">
    <cfRule type="cellIs" dxfId="606" priority="61" stopIfTrue="1" operator="lessThan">
      <formula>0</formula>
    </cfRule>
  </conditionalFormatting>
  <conditionalFormatting sqref="D5:I5">
    <cfRule type="cellIs" dxfId="605" priority="57" stopIfTrue="1" operator="lessThan">
      <formula>0</formula>
    </cfRule>
  </conditionalFormatting>
  <conditionalFormatting sqref="AN49:AN50">
    <cfRule type="cellIs" dxfId="604" priority="53" stopIfTrue="1" operator="lessThan">
      <formula>0</formula>
    </cfRule>
  </conditionalFormatting>
  <conditionalFormatting sqref="AJ116:AL122">
    <cfRule type="cellIs" dxfId="603" priority="49" stopIfTrue="1" operator="lessThan">
      <formula>0</formula>
    </cfRule>
  </conditionalFormatting>
  <conditionalFormatting sqref="A3:C5 E4:H4">
    <cfRule type="cellIs" dxfId="602" priority="60" stopIfTrue="1" operator="lessThan">
      <formula>0</formula>
    </cfRule>
  </conditionalFormatting>
  <conditionalFormatting sqref="A2:D2">
    <cfRule type="cellIs" dxfId="601" priority="58" stopIfTrue="1" operator="lessThan">
      <formula>0</formula>
    </cfRule>
  </conditionalFormatting>
  <conditionalFormatting sqref="AB315:BA334 A75:Z81 E50:Z50 C51:Z74 A6:Z49 A106:Z113 C82:Z105 A141:Z337 C116:Z131">
    <cfRule type="cellIs" dxfId="600" priority="38" stopIfTrue="1" operator="lessThan">
      <formula>0</formula>
    </cfRule>
  </conditionalFormatting>
  <conditionalFormatting sqref="D3:D4">
    <cfRule type="cellIs" dxfId="599" priority="55" stopIfTrue="1" operator="lessThan">
      <formula>0</formula>
    </cfRule>
  </conditionalFormatting>
  <conditionalFormatting sqref="D4">
    <cfRule type="cellIs" dxfId="598" priority="56" operator="lessThan">
      <formula>0</formula>
    </cfRule>
  </conditionalFormatting>
  <conditionalFormatting sqref="E81:R81">
    <cfRule type="cellIs" dxfId="597" priority="62" stopIfTrue="1" operator="lessThan">
      <formula>0</formula>
    </cfRule>
  </conditionalFormatting>
  <conditionalFormatting sqref="E113:R113">
    <cfRule type="cellIs" dxfId="596" priority="63" stopIfTrue="1" operator="lessThan">
      <formula>0</formula>
    </cfRule>
  </conditionalFormatting>
  <conditionalFormatting sqref="J2:Z5 AJ3:BA7 AH3:AI15 AB78:BA81 AB110:BA113 AB143:BA146 AB167:BA170 AB191:BA194 AB215:BA218 AB239:BA242 AB263:BA266 AB287:BA290 AB311:BA314 AB335:BA337 AM8:BA49 AH16:AL49">
    <cfRule type="cellIs" dxfId="595" priority="59" stopIfTrue="1" operator="lessThan">
      <formula>0</formula>
    </cfRule>
  </conditionalFormatting>
  <conditionalFormatting sqref="AA2:AA113 AA116:AA131 AA141:AA337">
    <cfRule type="cellIs" dxfId="594" priority="37" stopIfTrue="1" operator="lessThan">
      <formula>0</formula>
    </cfRule>
  </conditionalFormatting>
  <conditionalFormatting sqref="AB2:AG77 AJ50:BA50 AH50:AI58 AH59:AL77 AM51:BA77">
    <cfRule type="cellIs" dxfId="593" priority="51" stopIfTrue="1" operator="lessThan">
      <formula>0</formula>
    </cfRule>
  </conditionalFormatting>
  <conditionalFormatting sqref="AH113:AI113 AB116:AG131 AM116:BA131 AH123:AL131 AN114:BA115 AH116:AI122 AB141:BA142">
    <cfRule type="cellIs" dxfId="592" priority="48" stopIfTrue="1" operator="lessThan">
      <formula>0</formula>
    </cfRule>
  </conditionalFormatting>
  <conditionalFormatting sqref="AH194:AI203 AJ195:BA195 AB195:AG214 AM196:BA214 AH204:AL214">
    <cfRule type="cellIs" dxfId="591" priority="43" stopIfTrue="1" operator="lessThan">
      <formula>0</formula>
    </cfRule>
  </conditionalFormatting>
  <conditionalFormatting sqref="AH2:BA2">
    <cfRule type="cellIs" dxfId="590" priority="54" stopIfTrue="1" operator="lessThan">
      <formula>0</formula>
    </cfRule>
  </conditionalFormatting>
  <conditionalFormatting sqref="AJ49:AL58">
    <cfRule type="cellIs" dxfId="589" priority="52" stopIfTrue="1" operator="lessThan">
      <formula>0</formula>
    </cfRule>
  </conditionalFormatting>
  <conditionalFormatting sqref="AJ170:AL179">
    <cfRule type="cellIs" dxfId="588" priority="46" stopIfTrue="1" operator="lessThan">
      <formula>0</formula>
    </cfRule>
  </conditionalFormatting>
  <conditionalFormatting sqref="AJ195:AL203">
    <cfRule type="cellIs" dxfId="587" priority="44" stopIfTrue="1" operator="lessThan">
      <formula>0</formula>
    </cfRule>
  </conditionalFormatting>
  <conditionalFormatting sqref="AB82:BA109">
    <cfRule type="cellIs" dxfId="586" priority="50" stopIfTrue="1" operator="lessThan">
      <formula>0</formula>
    </cfRule>
  </conditionalFormatting>
  <conditionalFormatting sqref="AB147:BA166">
    <cfRule type="cellIs" dxfId="585" priority="47" stopIfTrue="1" operator="lessThan">
      <formula>0</formula>
    </cfRule>
  </conditionalFormatting>
  <conditionalFormatting sqref="AB219:BA238">
    <cfRule type="cellIs" dxfId="584" priority="42" stopIfTrue="1" operator="lessThan">
      <formula>0</formula>
    </cfRule>
  </conditionalFormatting>
  <conditionalFormatting sqref="AB243:BA262">
    <cfRule type="cellIs" dxfId="583" priority="41" stopIfTrue="1" operator="lessThan">
      <formula>0</formula>
    </cfRule>
  </conditionalFormatting>
  <conditionalFormatting sqref="AB267:BA286">
    <cfRule type="cellIs" dxfId="582" priority="40" stopIfTrue="1" operator="lessThan">
      <formula>0</formula>
    </cfRule>
  </conditionalFormatting>
  <conditionalFormatting sqref="AB291:BA310">
    <cfRule type="cellIs" dxfId="581" priority="39" stopIfTrue="1" operator="lessThan">
      <formula>0</formula>
    </cfRule>
  </conditionalFormatting>
  <conditionalFormatting sqref="AN7">
    <cfRule type="cellIs" dxfId="580" priority="64" stopIfTrue="1" operator="lessThan">
      <formula>0</formula>
    </cfRule>
  </conditionalFormatting>
  <conditionalFormatting sqref="B50:D50 B51:B74">
    <cfRule type="cellIs" dxfId="579" priority="36" stopIfTrue="1" operator="lessThan">
      <formula>0</formula>
    </cfRule>
  </conditionalFormatting>
  <conditionalFormatting sqref="A50:A74">
    <cfRule type="cellIs" dxfId="578" priority="35" stopIfTrue="1" operator="lessThan">
      <formula>0</formula>
    </cfRule>
  </conditionalFormatting>
  <conditionalFormatting sqref="B82:B105">
    <cfRule type="cellIs" dxfId="577" priority="34" stopIfTrue="1" operator="lessThan">
      <formula>0</formula>
    </cfRule>
  </conditionalFormatting>
  <conditionalFormatting sqref="A114:A140">
    <cfRule type="cellIs" dxfId="576" priority="28" stopIfTrue="1" operator="lessThan">
      <formula>0</formula>
    </cfRule>
  </conditionalFormatting>
  <conditionalFormatting sqref="C114:Z115">
    <cfRule type="cellIs" dxfId="575" priority="31" stopIfTrue="1" operator="lessThan">
      <formula>0</formula>
    </cfRule>
  </conditionalFormatting>
  <conditionalFormatting sqref="AA114:AA115">
    <cfRule type="cellIs" dxfId="574" priority="30" stopIfTrue="1" operator="lessThan">
      <formula>0</formula>
    </cfRule>
  </conditionalFormatting>
  <conditionalFormatting sqref="AB114:AM115">
    <cfRule type="cellIs" dxfId="573" priority="32" stopIfTrue="1" operator="lessThan">
      <formula>0</formula>
    </cfRule>
  </conditionalFormatting>
  <conditionalFormatting sqref="B114:B140">
    <cfRule type="cellIs" dxfId="572" priority="29" stopIfTrue="1" operator="lessThan">
      <formula>0</formula>
    </cfRule>
  </conditionalFormatting>
  <conditionalFormatting sqref="C132:Z132">
    <cfRule type="cellIs" dxfId="571" priority="26" stopIfTrue="1" operator="lessThan">
      <formula>0</formula>
    </cfRule>
  </conditionalFormatting>
  <conditionalFormatting sqref="AA132">
    <cfRule type="cellIs" dxfId="570" priority="25" stopIfTrue="1" operator="lessThan">
      <formula>0</formula>
    </cfRule>
  </conditionalFormatting>
  <conditionalFormatting sqref="AB132:BA132">
    <cfRule type="cellIs" dxfId="569" priority="27" stopIfTrue="1" operator="lessThan">
      <formula>0</formula>
    </cfRule>
  </conditionalFormatting>
  <conditionalFormatting sqref="C135:Z135">
    <cfRule type="cellIs" dxfId="568" priority="23" stopIfTrue="1" operator="lessThan">
      <formula>0</formula>
    </cfRule>
  </conditionalFormatting>
  <conditionalFormatting sqref="AA135">
    <cfRule type="cellIs" dxfId="567" priority="22" stopIfTrue="1" operator="lessThan">
      <formula>0</formula>
    </cfRule>
  </conditionalFormatting>
  <conditionalFormatting sqref="AB135:BA135">
    <cfRule type="cellIs" dxfId="566" priority="24" stopIfTrue="1" operator="lessThan">
      <formula>0</formula>
    </cfRule>
  </conditionalFormatting>
  <conditionalFormatting sqref="C134:Z134">
    <cfRule type="cellIs" dxfId="565" priority="20" stopIfTrue="1" operator="lessThan">
      <formula>0</formula>
    </cfRule>
  </conditionalFormatting>
  <conditionalFormatting sqref="AA134">
    <cfRule type="cellIs" dxfId="564" priority="19" stopIfTrue="1" operator="lessThan">
      <formula>0</formula>
    </cfRule>
  </conditionalFormatting>
  <conditionalFormatting sqref="AB134:BA134">
    <cfRule type="cellIs" dxfId="563" priority="21" stopIfTrue="1" operator="lessThan">
      <formula>0</formula>
    </cfRule>
  </conditionalFormatting>
  <conditionalFormatting sqref="C133:Z133">
    <cfRule type="cellIs" dxfId="562" priority="17" stopIfTrue="1" operator="lessThan">
      <formula>0</formula>
    </cfRule>
  </conditionalFormatting>
  <conditionalFormatting sqref="AA133">
    <cfRule type="cellIs" dxfId="561" priority="16" stopIfTrue="1" operator="lessThan">
      <formula>0</formula>
    </cfRule>
  </conditionalFormatting>
  <conditionalFormatting sqref="AB133:BA133">
    <cfRule type="cellIs" dxfId="560" priority="18" stopIfTrue="1" operator="lessThan">
      <formula>0</formula>
    </cfRule>
  </conditionalFormatting>
  <conditionalFormatting sqref="C140:Z140">
    <cfRule type="cellIs" dxfId="559" priority="14" stopIfTrue="1" operator="lessThan">
      <formula>0</formula>
    </cfRule>
  </conditionalFormatting>
  <conditionalFormatting sqref="AA140">
    <cfRule type="cellIs" dxfId="558" priority="13" stopIfTrue="1" operator="lessThan">
      <formula>0</formula>
    </cfRule>
  </conditionalFormatting>
  <conditionalFormatting sqref="AB140:BA140">
    <cfRule type="cellIs" dxfId="557" priority="15" stopIfTrue="1" operator="lessThan">
      <formula>0</formula>
    </cfRule>
  </conditionalFormatting>
  <conditionalFormatting sqref="C139:Z139">
    <cfRule type="cellIs" dxfId="556" priority="11" stopIfTrue="1" operator="lessThan">
      <formula>0</formula>
    </cfRule>
  </conditionalFormatting>
  <conditionalFormatting sqref="AA139">
    <cfRule type="cellIs" dxfId="555" priority="10" stopIfTrue="1" operator="lessThan">
      <formula>0</formula>
    </cfRule>
  </conditionalFormatting>
  <conditionalFormatting sqref="AB139:BA139">
    <cfRule type="cellIs" dxfId="554" priority="12" stopIfTrue="1" operator="lessThan">
      <formula>0</formula>
    </cfRule>
  </conditionalFormatting>
  <conditionalFormatting sqref="C136:Z136">
    <cfRule type="cellIs" dxfId="553" priority="8" stopIfTrue="1" operator="lessThan">
      <formula>0</formula>
    </cfRule>
  </conditionalFormatting>
  <conditionalFormatting sqref="AA136">
    <cfRule type="cellIs" dxfId="552" priority="7" stopIfTrue="1" operator="lessThan">
      <formula>0</formula>
    </cfRule>
  </conditionalFormatting>
  <conditionalFormatting sqref="AB136:BA136">
    <cfRule type="cellIs" dxfId="551" priority="9" stopIfTrue="1" operator="lessThan">
      <formula>0</formula>
    </cfRule>
  </conditionalFormatting>
  <conditionalFormatting sqref="C138:Z138">
    <cfRule type="cellIs" dxfId="550" priority="5" stopIfTrue="1" operator="lessThan">
      <formula>0</formula>
    </cfRule>
  </conditionalFormatting>
  <conditionalFormatting sqref="AA138">
    <cfRule type="cellIs" dxfId="549" priority="4" stopIfTrue="1" operator="lessThan">
      <formula>0</formula>
    </cfRule>
  </conditionalFormatting>
  <conditionalFormatting sqref="AB138:BA138">
    <cfRule type="cellIs" dxfId="548" priority="6" stopIfTrue="1" operator="lessThan">
      <formula>0</formula>
    </cfRule>
  </conditionalFormatting>
  <conditionalFormatting sqref="C137:Z137">
    <cfRule type="cellIs" dxfId="547" priority="2" stopIfTrue="1" operator="lessThan">
      <formula>0</formula>
    </cfRule>
  </conditionalFormatting>
  <conditionalFormatting sqref="AA137">
    <cfRule type="cellIs" dxfId="546" priority="1" stopIfTrue="1" operator="lessThan">
      <formula>0</formula>
    </cfRule>
  </conditionalFormatting>
  <conditionalFormatting sqref="AB137:BA137">
    <cfRule type="cellIs" dxfId="545" priority="3" stopIfTrue="1" operator="lessThan">
      <formula>0</formula>
    </cfRule>
  </conditionalFormatting>
  <pageMargins left="0.7" right="0.7" top="0.75" bottom="0.75" header="0" footer="0"/>
  <pageSetup scale="10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CC99"/>
  </sheetPr>
  <dimension ref="A1:AG235"/>
  <sheetViews>
    <sheetView workbookViewId="0">
      <pane xSplit="4" ySplit="5" topLeftCell="N42" activePane="bottomRight" state="frozen"/>
      <selection activeCell="E13" sqref="E13"/>
      <selection pane="topRight" activeCell="E13" sqref="E13"/>
      <selection pane="bottomLeft" activeCell="E13" sqref="E13"/>
      <selection pane="bottomRight" activeCell="P55" sqref="P55"/>
    </sheetView>
  </sheetViews>
  <sheetFormatPr defaultColWidth="14.42578125" defaultRowHeight="15" customHeight="1" x14ac:dyDescent="0.3"/>
  <cols>
    <col min="1" max="1" width="12.42578125" style="714" customWidth="1"/>
    <col min="2" max="2" width="16.85546875" style="137" customWidth="1"/>
    <col min="3" max="3" width="12.85546875" style="137" customWidth="1"/>
    <col min="4" max="4" width="83.85546875" style="137" customWidth="1"/>
    <col min="5" max="14" width="16.85546875" style="137" customWidth="1"/>
    <col min="15" max="15" width="18.28515625" style="942" customWidth="1"/>
    <col min="16" max="16" width="26.42578125" style="137" customWidth="1"/>
    <col min="17" max="17" width="17.7109375" style="137" customWidth="1"/>
    <col min="18" max="18" width="21.5703125" style="766" customWidth="1"/>
    <col min="19" max="19" width="14" style="770" customWidth="1"/>
    <col min="20" max="20" width="13.85546875" style="137" customWidth="1"/>
    <col min="21" max="21" width="16" style="137" customWidth="1"/>
    <col min="22" max="22" width="16.140625" style="137" customWidth="1"/>
    <col min="23" max="23" width="15.85546875" style="137" customWidth="1"/>
    <col min="24" max="25" width="16" style="137" customWidth="1"/>
    <col min="26" max="26" width="16.140625" style="137" customWidth="1"/>
    <col min="27" max="27" width="15.85546875" style="137" customWidth="1"/>
    <col min="28" max="28" width="16.140625" style="137" customWidth="1"/>
    <col min="29" max="30" width="16" style="137" customWidth="1"/>
    <col min="31" max="32" width="16.140625" style="137" customWidth="1"/>
    <col min="33" max="33" width="16" style="137" customWidth="1"/>
    <col min="34" max="16384" width="14.42578125" style="137"/>
  </cols>
  <sheetData>
    <row r="1" spans="1:33" ht="18.75" customHeight="1" x14ac:dyDescent="0.3">
      <c r="A1" s="733"/>
      <c r="B1" s="42"/>
      <c r="C1" s="42"/>
      <c r="D1" s="747" t="s">
        <v>1251</v>
      </c>
      <c r="E1" s="37"/>
      <c r="F1" s="37"/>
      <c r="G1" s="37"/>
      <c r="H1" s="37"/>
      <c r="I1" s="1220" t="s">
        <v>1252</v>
      </c>
      <c r="J1" s="1220"/>
      <c r="K1" s="1220"/>
      <c r="L1" s="1220"/>
      <c r="M1" s="1220"/>
      <c r="N1" s="139"/>
      <c r="O1" s="872"/>
      <c r="P1" s="42"/>
      <c r="Q1" s="494"/>
      <c r="R1" s="764"/>
      <c r="S1" s="769"/>
      <c r="T1" s="37"/>
      <c r="U1" s="395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3" s="133" customFormat="1" ht="37.5" x14ac:dyDescent="0.3">
      <c r="A2" s="1084" t="s">
        <v>201</v>
      </c>
      <c r="B2" s="1085" t="s">
        <v>202</v>
      </c>
      <c r="C2" s="1085" t="s">
        <v>1198</v>
      </c>
      <c r="D2" s="1085" t="s">
        <v>77</v>
      </c>
      <c r="E2" s="1086" t="s">
        <v>325</v>
      </c>
      <c r="F2" s="1086" t="s">
        <v>326</v>
      </c>
      <c r="G2" s="1087" t="s">
        <v>327</v>
      </c>
      <c r="H2" s="1086" t="s">
        <v>328</v>
      </c>
      <c r="I2" s="1088" t="s">
        <v>1253</v>
      </c>
      <c r="J2" s="1088" t="s">
        <v>329</v>
      </c>
      <c r="K2" s="913" t="s">
        <v>330</v>
      </c>
      <c r="L2" s="1088" t="s">
        <v>331</v>
      </c>
      <c r="M2" s="1088" t="s">
        <v>332</v>
      </c>
      <c r="N2" s="1086" t="s">
        <v>208</v>
      </c>
      <c r="O2" s="865" t="s">
        <v>273</v>
      </c>
      <c r="P2" s="866" t="s">
        <v>274</v>
      </c>
      <c r="Q2" s="867" t="s">
        <v>275</v>
      </c>
      <c r="R2" s="868" t="s">
        <v>276</v>
      </c>
      <c r="S2" s="869" t="s">
        <v>86</v>
      </c>
      <c r="T2" s="324" t="s">
        <v>277</v>
      </c>
      <c r="U2" s="906" t="s">
        <v>1217</v>
      </c>
      <c r="V2" s="906" t="s">
        <v>1218</v>
      </c>
      <c r="W2" s="906" t="s">
        <v>1219</v>
      </c>
      <c r="X2" s="906" t="s">
        <v>1220</v>
      </c>
      <c r="Y2" s="906" t="s">
        <v>1221</v>
      </c>
      <c r="Z2" s="906" t="s">
        <v>1222</v>
      </c>
      <c r="AA2" s="906" t="s">
        <v>1223</v>
      </c>
      <c r="AB2" s="906" t="s">
        <v>1224</v>
      </c>
      <c r="AC2" s="906" t="s">
        <v>1225</v>
      </c>
      <c r="AD2" s="906" t="s">
        <v>1226</v>
      </c>
      <c r="AE2" s="906" t="s">
        <v>1227</v>
      </c>
      <c r="AF2" s="906" t="s">
        <v>1228</v>
      </c>
      <c r="AG2" s="906" t="s">
        <v>306</v>
      </c>
    </row>
    <row r="3" spans="1:33" ht="18.75" customHeight="1" x14ac:dyDescent="0.3">
      <c r="A3" s="1022"/>
      <c r="B3" s="724"/>
      <c r="C3" s="1023"/>
      <c r="D3" s="799" t="s">
        <v>209</v>
      </c>
      <c r="E3" s="1024">
        <v>0</v>
      </c>
      <c r="F3" s="1024">
        <v>0</v>
      </c>
      <c r="G3" s="890"/>
      <c r="H3" s="1024">
        <v>0</v>
      </c>
      <c r="I3" s="1024">
        <v>0</v>
      </c>
      <c r="J3" s="1024">
        <v>0</v>
      </c>
      <c r="K3" s="912">
        <v>0</v>
      </c>
      <c r="L3" s="1024">
        <v>0</v>
      </c>
      <c r="M3" s="1024">
        <v>0</v>
      </c>
      <c r="N3" s="1024">
        <f>SUM(E3:M3)</f>
        <v>0</v>
      </c>
      <c r="O3" s="938"/>
      <c r="P3" s="726"/>
      <c r="Q3" s="782"/>
      <c r="R3" s="861"/>
      <c r="S3" s="862"/>
      <c r="T3" s="4"/>
      <c r="U3" s="474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</row>
    <row r="4" spans="1:33" ht="18.75" customHeight="1" x14ac:dyDescent="0.3">
      <c r="A4" s="1025"/>
      <c r="B4" s="726"/>
      <c r="C4" s="1026"/>
      <c r="D4" s="800" t="s">
        <v>1203</v>
      </c>
      <c r="E4" s="807">
        <v>3019800</v>
      </c>
      <c r="F4" s="1089">
        <v>119800</v>
      </c>
      <c r="G4" s="1090">
        <v>40000</v>
      </c>
      <c r="H4" s="807">
        <v>225000</v>
      </c>
      <c r="I4" s="807">
        <v>1200000</v>
      </c>
      <c r="J4" s="807">
        <v>100000</v>
      </c>
      <c r="K4" s="1091">
        <v>164200</v>
      </c>
      <c r="L4" s="1091">
        <v>1495800</v>
      </c>
      <c r="M4" s="807">
        <v>1100000</v>
      </c>
      <c r="N4" s="807">
        <f>SUM(E4:M4)</f>
        <v>7464600</v>
      </c>
      <c r="O4" s="938"/>
      <c r="P4" s="726"/>
      <c r="Q4" s="782">
        <f>SUM(Q6:Q173)</f>
        <v>2366334.4599999995</v>
      </c>
      <c r="R4" s="762">
        <f>SUM(R6:R173)</f>
        <v>0</v>
      </c>
      <c r="S4" s="768">
        <f>SUM(S6:S173)</f>
        <v>88295864.950000003</v>
      </c>
      <c r="T4" s="4"/>
      <c r="U4" s="474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</row>
    <row r="5" spans="1:33" ht="18.75" customHeight="1" x14ac:dyDescent="0.3">
      <c r="A5" s="1076"/>
      <c r="B5" s="857"/>
      <c r="C5" s="1077"/>
      <c r="D5" s="815" t="s">
        <v>211</v>
      </c>
      <c r="E5" s="753"/>
      <c r="F5" s="753"/>
      <c r="G5" s="756"/>
      <c r="H5" s="753"/>
      <c r="I5" s="753"/>
      <c r="J5" s="756"/>
      <c r="K5" s="1092"/>
      <c r="L5" s="753"/>
      <c r="M5" s="753"/>
      <c r="N5" s="753"/>
      <c r="O5" s="939"/>
      <c r="P5" s="857"/>
      <c r="Q5" s="858"/>
      <c r="R5" s="795"/>
      <c r="S5" s="796"/>
      <c r="T5" s="4"/>
      <c r="U5" s="475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18.75" customHeight="1" x14ac:dyDescent="0.3">
      <c r="A6" s="1027" t="s">
        <v>212</v>
      </c>
      <c r="B6" s="27"/>
      <c r="C6" s="1028"/>
      <c r="D6" s="29"/>
      <c r="E6" s="1029"/>
      <c r="F6" s="1029"/>
      <c r="G6" s="4"/>
      <c r="H6" s="1029"/>
      <c r="I6" s="1029"/>
      <c r="J6" s="4"/>
      <c r="K6" s="1093"/>
      <c r="L6" s="1029"/>
      <c r="M6" s="1029"/>
      <c r="N6" s="1094">
        <f t="shared" ref="N6:N62" si="0">SUM(E6:M6)</f>
        <v>0</v>
      </c>
      <c r="O6" s="937"/>
      <c r="P6" s="27"/>
      <c r="Q6" s="873"/>
      <c r="R6" s="861"/>
      <c r="S6" s="863"/>
      <c r="T6" s="879"/>
      <c r="U6" s="878"/>
      <c r="V6" s="879"/>
      <c r="W6" s="879"/>
      <c r="X6" s="879"/>
      <c r="Y6" s="879"/>
      <c r="Z6" s="879"/>
      <c r="AA6" s="879"/>
      <c r="AB6" s="879"/>
      <c r="AC6" s="879"/>
      <c r="AD6" s="879"/>
      <c r="AE6" s="879"/>
      <c r="AF6" s="879"/>
      <c r="AG6" s="879"/>
    </row>
    <row r="7" spans="1:33" ht="22.15" customHeight="1" x14ac:dyDescent="0.3">
      <c r="A7" s="957" t="s">
        <v>1410</v>
      </c>
      <c r="B7" s="876" t="s">
        <v>1411</v>
      </c>
      <c r="C7" s="840" t="s">
        <v>1370</v>
      </c>
      <c r="D7" s="34" t="s">
        <v>1412</v>
      </c>
      <c r="E7" s="684"/>
      <c r="F7" s="684"/>
      <c r="G7" s="37"/>
      <c r="H7" s="684">
        <v>53763</v>
      </c>
      <c r="I7" s="684"/>
      <c r="J7" s="37"/>
      <c r="K7" s="1055"/>
      <c r="L7" s="684"/>
      <c r="M7" s="684"/>
      <c r="N7" s="1094">
        <f t="shared" si="0"/>
        <v>53763</v>
      </c>
      <c r="O7" s="937">
        <v>45574</v>
      </c>
      <c r="P7" s="42" t="s">
        <v>1413</v>
      </c>
      <c r="Q7" s="494">
        <v>53763</v>
      </c>
      <c r="R7" s="764"/>
      <c r="S7" s="769">
        <f>N7-Q7-R7</f>
        <v>0</v>
      </c>
      <c r="T7" s="870"/>
      <c r="U7" s="886"/>
      <c r="V7" s="886"/>
      <c r="W7" s="886"/>
      <c r="X7" s="870"/>
      <c r="Y7" s="870"/>
      <c r="Z7" s="870"/>
      <c r="AA7" s="870"/>
      <c r="AB7" s="870"/>
      <c r="AC7" s="870"/>
      <c r="AD7" s="870"/>
      <c r="AE7" s="870"/>
      <c r="AF7" s="870"/>
      <c r="AG7" s="870"/>
    </row>
    <row r="8" spans="1:33" s="961" customFormat="1" ht="22.15" customHeight="1" x14ac:dyDescent="0.3">
      <c r="A8" s="957" t="s">
        <v>1420</v>
      </c>
      <c r="B8" s="876"/>
      <c r="C8" s="840"/>
      <c r="D8" s="34" t="s">
        <v>1421</v>
      </c>
      <c r="E8" s="684"/>
      <c r="F8" s="684">
        <v>5997</v>
      </c>
      <c r="G8" s="37"/>
      <c r="H8" s="684"/>
      <c r="I8" s="684"/>
      <c r="J8" s="37"/>
      <c r="K8" s="1055"/>
      <c r="L8" s="684"/>
      <c r="M8" s="684"/>
      <c r="N8" s="1094">
        <f t="shared" si="0"/>
        <v>5997</v>
      </c>
      <c r="O8" s="937">
        <v>45583</v>
      </c>
      <c r="P8" s="42" t="s">
        <v>1460</v>
      </c>
      <c r="Q8" s="494">
        <v>5997</v>
      </c>
      <c r="R8" s="764"/>
      <c r="S8" s="769">
        <f>N8-Q8-R8</f>
        <v>0</v>
      </c>
      <c r="T8" s="870"/>
      <c r="U8" s="886"/>
      <c r="V8" s="886"/>
      <c r="W8" s="886"/>
      <c r="X8" s="870"/>
      <c r="Y8" s="870"/>
      <c r="Z8" s="870"/>
      <c r="AA8" s="870"/>
      <c r="AB8" s="870"/>
      <c r="AC8" s="870"/>
      <c r="AD8" s="870"/>
      <c r="AE8" s="870"/>
      <c r="AF8" s="870"/>
      <c r="AG8" s="870"/>
    </row>
    <row r="9" spans="1:33" s="961" customFormat="1" ht="18.75" x14ac:dyDescent="0.3">
      <c r="A9" s="957" t="s">
        <v>1420</v>
      </c>
      <c r="B9" s="876"/>
      <c r="C9" s="840"/>
      <c r="D9" s="34" t="s">
        <v>1422</v>
      </c>
      <c r="E9" s="684"/>
      <c r="F9" s="684">
        <v>4751.87</v>
      </c>
      <c r="G9" s="37"/>
      <c r="H9" s="684"/>
      <c r="I9" s="684"/>
      <c r="J9" s="37"/>
      <c r="K9" s="1055"/>
      <c r="L9" s="684"/>
      <c r="M9" s="684"/>
      <c r="N9" s="1094">
        <f t="shared" si="0"/>
        <v>4751.87</v>
      </c>
      <c r="O9" s="937">
        <v>45583</v>
      </c>
      <c r="P9" s="42" t="s">
        <v>1462</v>
      </c>
      <c r="Q9" s="494">
        <v>4751.87</v>
      </c>
      <c r="R9" s="764"/>
      <c r="S9" s="769">
        <f t="shared" ref="S9" si="1">N9-Q9-R9</f>
        <v>0</v>
      </c>
      <c r="T9" s="870"/>
      <c r="U9" s="910"/>
      <c r="V9" s="886"/>
      <c r="W9" s="886"/>
      <c r="X9" s="870"/>
      <c r="Y9" s="870"/>
      <c r="Z9" s="870"/>
      <c r="AA9" s="870"/>
      <c r="AB9" s="870"/>
      <c r="AC9" s="870"/>
      <c r="AD9" s="870"/>
      <c r="AE9" s="870"/>
      <c r="AF9" s="870"/>
      <c r="AG9" s="870"/>
    </row>
    <row r="10" spans="1:33" s="961" customFormat="1" ht="22.15" customHeight="1" x14ac:dyDescent="0.3">
      <c r="A10" s="957">
        <v>45587</v>
      </c>
      <c r="B10" s="876" t="s">
        <v>1372</v>
      </c>
      <c r="C10" s="840" t="s">
        <v>1368</v>
      </c>
      <c r="D10" s="34" t="s">
        <v>1369</v>
      </c>
      <c r="E10" s="684"/>
      <c r="F10" s="684"/>
      <c r="G10" s="37"/>
      <c r="H10" s="684"/>
      <c r="I10" s="684"/>
      <c r="J10" s="37">
        <v>6609.66</v>
      </c>
      <c r="K10" s="1055"/>
      <c r="L10" s="684"/>
      <c r="M10" s="684"/>
      <c r="N10" s="1095">
        <f t="shared" si="0"/>
        <v>6609.66</v>
      </c>
      <c r="O10" s="937">
        <v>45589</v>
      </c>
      <c r="P10" s="42" t="s">
        <v>1375</v>
      </c>
      <c r="Q10" s="494">
        <v>6609.66</v>
      </c>
      <c r="R10" s="764"/>
      <c r="S10" s="769">
        <f>N10-Q10-R10</f>
        <v>0</v>
      </c>
      <c r="T10" s="870"/>
      <c r="U10" s="886"/>
      <c r="V10" s="886"/>
      <c r="W10" s="886"/>
      <c r="X10" s="870"/>
      <c r="Y10" s="870"/>
      <c r="Z10" s="870"/>
      <c r="AA10" s="870"/>
      <c r="AB10" s="870"/>
      <c r="AC10" s="870"/>
      <c r="AD10" s="870"/>
      <c r="AE10" s="870"/>
      <c r="AF10" s="870"/>
      <c r="AG10" s="870"/>
    </row>
    <row r="11" spans="1:33" s="961" customFormat="1" ht="18.75" x14ac:dyDescent="0.3">
      <c r="A11" s="957">
        <v>45587</v>
      </c>
      <c r="B11" s="876" t="s">
        <v>1423</v>
      </c>
      <c r="C11" s="840" t="s">
        <v>1370</v>
      </c>
      <c r="D11" s="34" t="s">
        <v>1371</v>
      </c>
      <c r="E11" s="684">
        <v>479315.07</v>
      </c>
      <c r="F11" s="684"/>
      <c r="G11" s="37"/>
      <c r="H11" s="684"/>
      <c r="I11" s="684"/>
      <c r="J11" s="37"/>
      <c r="K11" s="1055"/>
      <c r="L11" s="684"/>
      <c r="M11" s="684"/>
      <c r="N11" s="1095">
        <f t="shared" si="0"/>
        <v>479315.07</v>
      </c>
      <c r="O11" s="937">
        <v>45587</v>
      </c>
      <c r="P11" s="42" t="s">
        <v>1374</v>
      </c>
      <c r="Q11" s="494">
        <v>479315.07</v>
      </c>
      <c r="R11" s="764"/>
      <c r="S11" s="769">
        <f t="shared" ref="S11:S20" si="2">N11-Q11-R11</f>
        <v>0</v>
      </c>
      <c r="T11" s="870"/>
      <c r="U11" s="910"/>
      <c r="V11" s="886"/>
      <c r="W11" s="886"/>
      <c r="X11" s="870"/>
      <c r="Y11" s="870"/>
      <c r="Z11" s="870"/>
      <c r="AA11" s="870"/>
      <c r="AB11" s="870"/>
      <c r="AC11" s="870"/>
      <c r="AD11" s="870"/>
      <c r="AE11" s="870"/>
      <c r="AF11" s="870"/>
      <c r="AG11" s="870"/>
    </row>
    <row r="12" spans="1:33" ht="18.75" customHeight="1" x14ac:dyDescent="0.3">
      <c r="A12" s="957">
        <v>45596</v>
      </c>
      <c r="B12" s="42"/>
      <c r="C12" s="955"/>
      <c r="D12" s="41" t="s">
        <v>1424</v>
      </c>
      <c r="E12" s="684"/>
      <c r="F12" s="684"/>
      <c r="G12" s="37">
        <v>23108.34</v>
      </c>
      <c r="H12" s="684"/>
      <c r="I12" s="684"/>
      <c r="J12" s="37"/>
      <c r="K12" s="1055"/>
      <c r="L12" s="684"/>
      <c r="M12" s="684"/>
      <c r="N12" s="1095">
        <f t="shared" si="0"/>
        <v>23108.34</v>
      </c>
      <c r="O12" s="937">
        <v>45596</v>
      </c>
      <c r="P12" s="42" t="s">
        <v>1467</v>
      </c>
      <c r="Q12" s="494">
        <v>23108.34</v>
      </c>
      <c r="R12" s="764"/>
      <c r="S12" s="769">
        <f t="shared" si="2"/>
        <v>0</v>
      </c>
      <c r="T12" s="870"/>
      <c r="U12" s="882"/>
      <c r="V12" s="870"/>
      <c r="W12" s="870"/>
      <c r="X12" s="870"/>
      <c r="Y12" s="870"/>
      <c r="Z12" s="870"/>
      <c r="AA12" s="870"/>
      <c r="AB12" s="870"/>
      <c r="AC12" s="870"/>
      <c r="AD12" s="870"/>
      <c r="AE12" s="870"/>
      <c r="AF12" s="870"/>
      <c r="AG12" s="870"/>
    </row>
    <row r="13" spans="1:33" ht="18.75" customHeight="1" x14ac:dyDescent="0.3">
      <c r="A13" s="957">
        <v>45596</v>
      </c>
      <c r="B13" s="42"/>
      <c r="C13" s="955"/>
      <c r="D13" s="41" t="s">
        <v>1425</v>
      </c>
      <c r="E13" s="684"/>
      <c r="F13" s="684"/>
      <c r="G13" s="37">
        <v>3771.75</v>
      </c>
      <c r="H13" s="684"/>
      <c r="I13" s="684"/>
      <c r="J13" s="37"/>
      <c r="K13" s="1055"/>
      <c r="L13" s="684"/>
      <c r="M13" s="684"/>
      <c r="N13" s="1095">
        <f t="shared" si="0"/>
        <v>3771.75</v>
      </c>
      <c r="O13" s="937">
        <v>45596</v>
      </c>
      <c r="P13" s="42" t="s">
        <v>1468</v>
      </c>
      <c r="Q13" s="494">
        <v>3771.75</v>
      </c>
      <c r="R13" s="764"/>
      <c r="S13" s="769">
        <f t="shared" si="2"/>
        <v>0</v>
      </c>
      <c r="T13" s="870"/>
      <c r="U13" s="882"/>
      <c r="V13" s="870"/>
      <c r="W13" s="870"/>
      <c r="X13" s="870"/>
      <c r="Y13" s="870"/>
      <c r="Z13" s="870"/>
      <c r="AA13" s="870"/>
      <c r="AB13" s="870"/>
      <c r="AC13" s="870"/>
      <c r="AD13" s="870"/>
      <c r="AE13" s="870"/>
      <c r="AF13" s="870"/>
      <c r="AG13" s="870"/>
    </row>
    <row r="14" spans="1:33" ht="18.75" customHeight="1" x14ac:dyDescent="0.3">
      <c r="A14" s="957"/>
      <c r="B14" s="42"/>
      <c r="C14" s="955"/>
      <c r="D14" s="41"/>
      <c r="E14" s="684"/>
      <c r="F14" s="684"/>
      <c r="G14" s="37"/>
      <c r="H14" s="684"/>
      <c r="I14" s="684"/>
      <c r="J14" s="37"/>
      <c r="K14" s="1055"/>
      <c r="L14" s="684"/>
      <c r="M14" s="684"/>
      <c r="N14" s="1095">
        <f t="shared" si="0"/>
        <v>0</v>
      </c>
      <c r="O14" s="940"/>
      <c r="P14" s="874"/>
      <c r="Q14" s="494"/>
      <c r="R14" s="764"/>
      <c r="S14" s="769">
        <f t="shared" si="2"/>
        <v>0</v>
      </c>
      <c r="T14" s="870"/>
      <c r="U14" s="882"/>
      <c r="V14" s="870"/>
      <c r="W14" s="870"/>
      <c r="X14" s="870"/>
      <c r="Y14" s="870"/>
      <c r="Z14" s="870"/>
      <c r="AA14" s="870"/>
      <c r="AB14" s="870"/>
      <c r="AC14" s="870"/>
      <c r="AD14" s="870"/>
      <c r="AE14" s="870"/>
      <c r="AF14" s="870"/>
      <c r="AG14" s="870"/>
    </row>
    <row r="15" spans="1:33" ht="18.75" customHeight="1" x14ac:dyDescent="0.3">
      <c r="A15" s="957"/>
      <c r="B15" s="42"/>
      <c r="C15" s="955"/>
      <c r="D15" s="41"/>
      <c r="E15" s="684"/>
      <c r="F15" s="684"/>
      <c r="G15" s="37"/>
      <c r="H15" s="684"/>
      <c r="I15" s="684"/>
      <c r="J15" s="37"/>
      <c r="K15" s="1055"/>
      <c r="L15" s="684"/>
      <c r="M15" s="684"/>
      <c r="N15" s="1095">
        <f t="shared" si="0"/>
        <v>0</v>
      </c>
      <c r="O15" s="940"/>
      <c r="P15" s="874"/>
      <c r="Q15" s="494"/>
      <c r="R15" s="764"/>
      <c r="S15" s="769">
        <f t="shared" si="2"/>
        <v>0</v>
      </c>
      <c r="T15" s="870"/>
      <c r="U15" s="882"/>
      <c r="V15" s="870"/>
      <c r="W15" s="870"/>
      <c r="X15" s="870"/>
      <c r="Y15" s="870"/>
      <c r="Z15" s="870"/>
      <c r="AA15" s="870"/>
      <c r="AB15" s="870"/>
      <c r="AC15" s="870"/>
      <c r="AD15" s="870"/>
      <c r="AE15" s="870"/>
      <c r="AF15" s="870"/>
      <c r="AG15" s="870"/>
    </row>
    <row r="16" spans="1:33" ht="18.75" customHeight="1" x14ac:dyDescent="0.3">
      <c r="A16" s="957"/>
      <c r="B16" s="42"/>
      <c r="C16" s="955"/>
      <c r="D16" s="41"/>
      <c r="E16" s="684"/>
      <c r="F16" s="684"/>
      <c r="G16" s="37"/>
      <c r="H16" s="684"/>
      <c r="I16" s="684"/>
      <c r="J16" s="37"/>
      <c r="K16" s="1055"/>
      <c r="L16" s="684"/>
      <c r="M16" s="684"/>
      <c r="N16" s="1095">
        <f t="shared" si="0"/>
        <v>0</v>
      </c>
      <c r="O16" s="937"/>
      <c r="P16" s="42"/>
      <c r="Q16" s="494"/>
      <c r="R16" s="764"/>
      <c r="S16" s="769">
        <f t="shared" si="2"/>
        <v>0</v>
      </c>
      <c r="T16" s="870"/>
      <c r="U16" s="882"/>
      <c r="V16" s="883"/>
      <c r="W16" s="883"/>
      <c r="X16" s="883"/>
      <c r="Y16" s="883"/>
      <c r="Z16" s="883"/>
      <c r="AA16" s="883"/>
      <c r="AB16" s="883"/>
      <c r="AC16" s="883"/>
      <c r="AD16" s="883"/>
      <c r="AE16" s="883"/>
      <c r="AF16" s="883"/>
      <c r="AG16" s="883"/>
    </row>
    <row r="17" spans="1:33" ht="18.75" customHeight="1" x14ac:dyDescent="0.3">
      <c r="A17" s="740"/>
      <c r="B17" s="210"/>
      <c r="C17" s="210"/>
      <c r="D17" s="465" t="s">
        <v>261</v>
      </c>
      <c r="E17" s="466">
        <f t="shared" ref="E17:M17" si="3">SUM(E6:E16)</f>
        <v>479315.07</v>
      </c>
      <c r="F17" s="466">
        <f t="shared" si="3"/>
        <v>10748.869999999999</v>
      </c>
      <c r="G17" s="466">
        <f t="shared" si="3"/>
        <v>26880.09</v>
      </c>
      <c r="H17" s="466">
        <f t="shared" si="3"/>
        <v>53763</v>
      </c>
      <c r="I17" s="466">
        <f t="shared" si="3"/>
        <v>0</v>
      </c>
      <c r="J17" s="466">
        <f t="shared" si="3"/>
        <v>6609.66</v>
      </c>
      <c r="K17" s="466">
        <f t="shared" si="3"/>
        <v>0</v>
      </c>
      <c r="L17" s="466">
        <f t="shared" si="3"/>
        <v>0</v>
      </c>
      <c r="M17" s="466">
        <f t="shared" si="3"/>
        <v>0</v>
      </c>
      <c r="N17" s="478">
        <f t="shared" si="0"/>
        <v>577316.69000000006</v>
      </c>
      <c r="O17" s="937"/>
      <c r="P17" s="42"/>
      <c r="Q17" s="494"/>
      <c r="R17" s="764"/>
      <c r="S17" s="769"/>
      <c r="T17" s="887"/>
      <c r="U17" s="882"/>
      <c r="V17" s="870"/>
      <c r="W17" s="870"/>
      <c r="X17" s="870"/>
      <c r="Y17" s="870"/>
      <c r="Z17" s="870"/>
      <c r="AA17" s="870"/>
      <c r="AB17" s="870"/>
      <c r="AC17" s="870"/>
      <c r="AD17" s="870"/>
      <c r="AE17" s="870"/>
      <c r="AF17" s="870"/>
      <c r="AG17" s="870"/>
    </row>
    <row r="18" spans="1:33" ht="18.75" customHeight="1" x14ac:dyDescent="0.3">
      <c r="A18" s="740"/>
      <c r="B18" s="210"/>
      <c r="C18" s="210"/>
      <c r="D18" s="465" t="s">
        <v>214</v>
      </c>
      <c r="E18" s="466">
        <f t="shared" ref="E18:M18" si="4">SUM(E3+E17)</f>
        <v>479315.07</v>
      </c>
      <c r="F18" s="466">
        <f t="shared" si="4"/>
        <v>10748.869999999999</v>
      </c>
      <c r="G18" s="466">
        <f t="shared" si="4"/>
        <v>26880.09</v>
      </c>
      <c r="H18" s="466">
        <f t="shared" si="4"/>
        <v>53763</v>
      </c>
      <c r="I18" s="466">
        <f t="shared" si="4"/>
        <v>0</v>
      </c>
      <c r="J18" s="466">
        <f t="shared" si="4"/>
        <v>6609.66</v>
      </c>
      <c r="K18" s="466">
        <f t="shared" si="4"/>
        <v>0</v>
      </c>
      <c r="L18" s="466">
        <f t="shared" si="4"/>
        <v>0</v>
      </c>
      <c r="M18" s="466">
        <f t="shared" si="4"/>
        <v>0</v>
      </c>
      <c r="N18" s="478">
        <f t="shared" si="0"/>
        <v>577316.69000000006</v>
      </c>
      <c r="O18" s="937"/>
      <c r="P18" s="42"/>
      <c r="Q18" s="494"/>
      <c r="R18" s="764"/>
      <c r="S18" s="769"/>
      <c r="T18" s="887"/>
      <c r="U18" s="882"/>
      <c r="V18" s="870"/>
      <c r="W18" s="870"/>
      <c r="X18" s="870"/>
      <c r="Y18" s="870"/>
      <c r="Z18" s="870"/>
      <c r="AA18" s="870"/>
      <c r="AB18" s="870"/>
      <c r="AC18" s="870"/>
      <c r="AD18" s="870"/>
      <c r="AE18" s="870"/>
      <c r="AF18" s="870"/>
      <c r="AG18" s="870"/>
    </row>
    <row r="19" spans="1:33" ht="18.75" customHeight="1" x14ac:dyDescent="0.3">
      <c r="A19" s="741"/>
      <c r="B19" s="479"/>
      <c r="C19" s="479"/>
      <c r="D19" s="471" t="s">
        <v>215</v>
      </c>
      <c r="E19" s="472">
        <f t="shared" ref="E19:M19" si="5">SUM(E4-E17)</f>
        <v>2540484.9300000002</v>
      </c>
      <c r="F19" s="472">
        <f t="shared" si="5"/>
        <v>109051.13</v>
      </c>
      <c r="G19" s="472">
        <f t="shared" si="5"/>
        <v>13119.91</v>
      </c>
      <c r="H19" s="472">
        <f t="shared" si="5"/>
        <v>171237</v>
      </c>
      <c r="I19" s="472">
        <f t="shared" si="5"/>
        <v>1200000</v>
      </c>
      <c r="J19" s="472">
        <f t="shared" si="5"/>
        <v>93390.34</v>
      </c>
      <c r="K19" s="472">
        <f t="shared" si="5"/>
        <v>164200</v>
      </c>
      <c r="L19" s="472">
        <f t="shared" si="5"/>
        <v>1495800</v>
      </c>
      <c r="M19" s="472">
        <f t="shared" si="5"/>
        <v>1100000</v>
      </c>
      <c r="N19" s="480">
        <f t="shared" si="0"/>
        <v>6887283.3100000005</v>
      </c>
      <c r="O19" s="937"/>
      <c r="P19" s="42"/>
      <c r="Q19" s="494"/>
      <c r="R19" s="764"/>
      <c r="S19" s="769"/>
      <c r="T19" s="887"/>
      <c r="U19" s="882"/>
      <c r="V19" s="870"/>
      <c r="W19" s="870"/>
      <c r="X19" s="870"/>
      <c r="Y19" s="870"/>
      <c r="Z19" s="870"/>
      <c r="AA19" s="870"/>
      <c r="AB19" s="870"/>
      <c r="AC19" s="870"/>
      <c r="AD19" s="870"/>
      <c r="AE19" s="870"/>
      <c r="AF19" s="870"/>
      <c r="AG19" s="870"/>
    </row>
    <row r="20" spans="1:33" ht="18.75" customHeight="1" x14ac:dyDescent="0.3">
      <c r="A20" s="1035" t="s">
        <v>216</v>
      </c>
      <c r="B20" s="42"/>
      <c r="C20" s="955"/>
      <c r="D20" s="41"/>
      <c r="E20" s="684"/>
      <c r="F20" s="684"/>
      <c r="G20" s="37"/>
      <c r="H20" s="684"/>
      <c r="I20" s="684"/>
      <c r="J20" s="37"/>
      <c r="K20" s="1055"/>
      <c r="L20" s="684"/>
      <c r="M20" s="684"/>
      <c r="N20" s="1095">
        <f t="shared" si="0"/>
        <v>0</v>
      </c>
      <c r="O20" s="937"/>
      <c r="P20" s="42"/>
      <c r="Q20" s="494"/>
      <c r="R20" s="764"/>
      <c r="S20" s="769">
        <f t="shared" si="2"/>
        <v>0</v>
      </c>
      <c r="T20" s="870"/>
      <c r="U20" s="882"/>
      <c r="V20" s="870"/>
      <c r="W20" s="883"/>
      <c r="X20" s="883"/>
      <c r="Y20" s="883"/>
      <c r="Z20" s="883"/>
      <c r="AA20" s="883"/>
      <c r="AB20" s="883"/>
      <c r="AC20" s="883"/>
      <c r="AD20" s="883"/>
      <c r="AE20" s="883"/>
      <c r="AF20" s="883"/>
      <c r="AG20" s="883"/>
    </row>
    <row r="21" spans="1:33" ht="18.75" x14ac:dyDescent="0.3">
      <c r="A21" s="957">
        <v>45609</v>
      </c>
      <c r="B21" s="876" t="s">
        <v>1594</v>
      </c>
      <c r="C21" s="840" t="s">
        <v>1370</v>
      </c>
      <c r="D21" s="34" t="s">
        <v>1595</v>
      </c>
      <c r="E21" s="684"/>
      <c r="F21" s="684"/>
      <c r="G21" s="37"/>
      <c r="H21" s="684">
        <v>15877</v>
      </c>
      <c r="I21" s="684"/>
      <c r="J21" s="37"/>
      <c r="K21" s="1055"/>
      <c r="L21" s="684"/>
      <c r="M21" s="684"/>
      <c r="N21" s="1095">
        <f t="shared" ref="N21:N30" si="6">SUM(E21:M21)</f>
        <v>15877</v>
      </c>
      <c r="O21" s="937">
        <v>45611</v>
      </c>
      <c r="P21" s="42" t="s">
        <v>1596</v>
      </c>
      <c r="Q21" s="494">
        <v>15877</v>
      </c>
      <c r="R21" s="764"/>
      <c r="S21" s="769">
        <f>N21-Q21-R21</f>
        <v>0</v>
      </c>
      <c r="T21" s="870"/>
      <c r="U21" s="886"/>
      <c r="V21" s="886"/>
      <c r="W21" s="886"/>
      <c r="X21" s="870"/>
      <c r="Y21" s="870"/>
      <c r="Z21" s="870"/>
      <c r="AA21" s="870"/>
      <c r="AB21" s="870"/>
      <c r="AC21" s="870"/>
      <c r="AD21" s="870"/>
      <c r="AE21" s="870"/>
      <c r="AF21" s="870"/>
      <c r="AG21" s="870"/>
    </row>
    <row r="22" spans="1:33" ht="37.5" x14ac:dyDescent="0.3">
      <c r="A22" s="957">
        <v>45614</v>
      </c>
      <c r="B22" s="876" t="s">
        <v>1597</v>
      </c>
      <c r="C22" s="840" t="s">
        <v>1368</v>
      </c>
      <c r="D22" s="34" t="s">
        <v>1598</v>
      </c>
      <c r="E22" s="684"/>
      <c r="F22" s="684"/>
      <c r="G22" s="37"/>
      <c r="H22" s="684"/>
      <c r="I22" s="684"/>
      <c r="J22" s="37">
        <v>6609.66</v>
      </c>
      <c r="K22" s="1055"/>
      <c r="L22" s="684"/>
      <c r="M22" s="684"/>
      <c r="N22" s="1095">
        <f t="shared" si="6"/>
        <v>6609.66</v>
      </c>
      <c r="O22" s="937"/>
      <c r="P22" s="42"/>
      <c r="Q22" s="494"/>
      <c r="R22" s="764"/>
      <c r="S22" s="769">
        <f t="shared" ref="S22:S34" si="7">N22-Q22-R22</f>
        <v>6609.66</v>
      </c>
      <c r="T22" s="870"/>
      <c r="U22" s="910"/>
      <c r="V22" s="886"/>
      <c r="W22" s="886"/>
      <c r="X22" s="870"/>
      <c r="Y22" s="870"/>
      <c r="Z22" s="870"/>
      <c r="AA22" s="870"/>
      <c r="AB22" s="870"/>
      <c r="AC22" s="870"/>
      <c r="AD22" s="870"/>
      <c r="AE22" s="870"/>
      <c r="AF22" s="870"/>
      <c r="AG22" s="870"/>
    </row>
    <row r="23" spans="1:33" ht="18.75" customHeight="1" x14ac:dyDescent="0.3">
      <c r="A23" s="957">
        <v>45616</v>
      </c>
      <c r="B23" s="876" t="s">
        <v>1599</v>
      </c>
      <c r="C23" s="840" t="s">
        <v>1370</v>
      </c>
      <c r="D23" s="34" t="s">
        <v>1600</v>
      </c>
      <c r="E23" s="684">
        <v>490659.77</v>
      </c>
      <c r="F23" s="684"/>
      <c r="G23" s="37"/>
      <c r="H23" s="684"/>
      <c r="I23" s="684"/>
      <c r="J23" s="37"/>
      <c r="K23" s="1055"/>
      <c r="L23" s="684"/>
      <c r="M23" s="684"/>
      <c r="N23" s="1095">
        <f t="shared" si="6"/>
        <v>490659.77</v>
      </c>
      <c r="O23" s="937">
        <v>45617</v>
      </c>
      <c r="P23" s="65" t="s">
        <v>1601</v>
      </c>
      <c r="Q23" s="494">
        <v>490659.77</v>
      </c>
      <c r="R23" s="764"/>
      <c r="S23" s="769">
        <f t="shared" si="7"/>
        <v>0</v>
      </c>
      <c r="T23" s="870"/>
      <c r="U23" s="882"/>
      <c r="V23" s="870"/>
      <c r="W23" s="870"/>
      <c r="X23" s="870"/>
      <c r="Y23" s="870"/>
      <c r="Z23" s="870"/>
      <c r="AA23" s="870"/>
      <c r="AB23" s="870"/>
      <c r="AC23" s="870"/>
      <c r="AD23" s="870"/>
      <c r="AE23" s="870"/>
      <c r="AF23" s="870"/>
      <c r="AG23" s="870"/>
    </row>
    <row r="24" spans="1:33" ht="18.75" customHeight="1" x14ac:dyDescent="0.3">
      <c r="A24" s="957"/>
      <c r="B24" s="42"/>
      <c r="C24" s="955"/>
      <c r="D24" s="34"/>
      <c r="E24" s="684"/>
      <c r="F24" s="684"/>
      <c r="G24" s="37"/>
      <c r="H24" s="684"/>
      <c r="I24" s="684"/>
      <c r="J24" s="37"/>
      <c r="K24" s="1055"/>
      <c r="L24" s="684"/>
      <c r="M24" s="684"/>
      <c r="N24" s="1095">
        <f t="shared" si="6"/>
        <v>0</v>
      </c>
      <c r="O24" s="940"/>
      <c r="P24" s="874"/>
      <c r="Q24" s="875"/>
      <c r="R24" s="764"/>
      <c r="S24" s="769">
        <f t="shared" si="7"/>
        <v>0</v>
      </c>
      <c r="T24" s="870"/>
      <c r="U24" s="882"/>
      <c r="V24" s="870"/>
      <c r="W24" s="870"/>
      <c r="X24" s="870"/>
      <c r="Y24" s="870"/>
      <c r="Z24" s="870"/>
      <c r="AA24" s="870"/>
      <c r="AB24" s="870"/>
      <c r="AC24" s="870"/>
      <c r="AD24" s="870"/>
      <c r="AE24" s="870"/>
      <c r="AF24" s="870"/>
      <c r="AG24" s="870"/>
    </row>
    <row r="25" spans="1:33" ht="18.75" customHeight="1" x14ac:dyDescent="0.3">
      <c r="A25" s="957"/>
      <c r="B25" s="42"/>
      <c r="C25" s="955"/>
      <c r="D25" s="41"/>
      <c r="E25" s="684"/>
      <c r="F25" s="684"/>
      <c r="G25" s="37"/>
      <c r="H25" s="684"/>
      <c r="I25" s="684"/>
      <c r="J25" s="37"/>
      <c r="K25" s="1055"/>
      <c r="L25" s="684"/>
      <c r="M25" s="684"/>
      <c r="N25" s="1095">
        <f t="shared" si="6"/>
        <v>0</v>
      </c>
      <c r="O25" s="940"/>
      <c r="P25" s="874"/>
      <c r="Q25" s="494"/>
      <c r="R25" s="764"/>
      <c r="S25" s="769">
        <f t="shared" si="7"/>
        <v>0</v>
      </c>
      <c r="T25" s="870"/>
      <c r="U25" s="882"/>
      <c r="V25" s="870"/>
      <c r="W25" s="870"/>
      <c r="X25" s="870"/>
      <c r="Y25" s="870"/>
      <c r="Z25" s="870"/>
      <c r="AA25" s="870"/>
      <c r="AB25" s="870"/>
      <c r="AC25" s="870"/>
      <c r="AD25" s="870"/>
      <c r="AE25" s="870"/>
      <c r="AF25" s="870"/>
      <c r="AG25" s="870"/>
    </row>
    <row r="26" spans="1:33" ht="18.75" customHeight="1" x14ac:dyDescent="0.3">
      <c r="A26" s="957"/>
      <c r="B26" s="42"/>
      <c r="C26" s="955"/>
      <c r="D26" s="41"/>
      <c r="E26" s="684"/>
      <c r="F26" s="684"/>
      <c r="G26" s="37"/>
      <c r="H26" s="684"/>
      <c r="I26" s="684"/>
      <c r="J26" s="37"/>
      <c r="K26" s="1055"/>
      <c r="L26" s="684"/>
      <c r="M26" s="684"/>
      <c r="N26" s="1095">
        <f t="shared" si="6"/>
        <v>0</v>
      </c>
      <c r="O26" s="940"/>
      <c r="P26" s="874"/>
      <c r="Q26" s="494"/>
      <c r="R26" s="764"/>
      <c r="S26" s="769">
        <f t="shared" si="7"/>
        <v>0</v>
      </c>
      <c r="T26" s="870"/>
      <c r="U26" s="882"/>
      <c r="V26" s="870"/>
      <c r="W26" s="870"/>
      <c r="X26" s="870"/>
      <c r="Y26" s="870"/>
      <c r="Z26" s="870"/>
      <c r="AA26" s="870"/>
      <c r="AB26" s="870"/>
      <c r="AC26" s="870"/>
      <c r="AD26" s="870"/>
      <c r="AE26" s="870"/>
      <c r="AF26" s="870"/>
      <c r="AG26" s="870"/>
    </row>
    <row r="27" spans="1:33" ht="18.75" customHeight="1" x14ac:dyDescent="0.3">
      <c r="A27" s="957"/>
      <c r="B27" s="42"/>
      <c r="C27" s="955"/>
      <c r="D27" s="41"/>
      <c r="E27" s="684"/>
      <c r="F27" s="684"/>
      <c r="G27" s="37"/>
      <c r="H27" s="684"/>
      <c r="I27" s="684"/>
      <c r="J27" s="37"/>
      <c r="K27" s="1055"/>
      <c r="L27" s="684"/>
      <c r="M27" s="684"/>
      <c r="N27" s="1095">
        <f t="shared" si="6"/>
        <v>0</v>
      </c>
      <c r="O27" s="937"/>
      <c r="P27" s="876"/>
      <c r="Q27" s="494"/>
      <c r="R27" s="764"/>
      <c r="S27" s="769">
        <f t="shared" si="7"/>
        <v>0</v>
      </c>
      <c r="T27" s="870"/>
      <c r="U27" s="882"/>
      <c r="V27" s="870"/>
      <c r="W27" s="870"/>
      <c r="X27" s="870"/>
      <c r="Y27" s="870"/>
      <c r="Z27" s="870"/>
      <c r="AA27" s="870"/>
      <c r="AB27" s="870"/>
      <c r="AC27" s="870"/>
      <c r="AD27" s="870"/>
      <c r="AE27" s="870"/>
      <c r="AF27" s="870"/>
      <c r="AG27" s="870"/>
    </row>
    <row r="28" spans="1:33" ht="18.75" customHeight="1" x14ac:dyDescent="0.3">
      <c r="A28" s="957"/>
      <c r="B28" s="42"/>
      <c r="C28" s="955"/>
      <c r="D28" s="41"/>
      <c r="E28" s="684"/>
      <c r="F28" s="684"/>
      <c r="G28" s="37"/>
      <c r="H28" s="684"/>
      <c r="I28" s="684"/>
      <c r="J28" s="37"/>
      <c r="K28" s="1055"/>
      <c r="L28" s="684"/>
      <c r="M28" s="684"/>
      <c r="N28" s="1095">
        <f t="shared" si="6"/>
        <v>0</v>
      </c>
      <c r="O28" s="940"/>
      <c r="P28" s="874"/>
      <c r="Q28" s="494"/>
      <c r="R28" s="764"/>
      <c r="S28" s="769">
        <f t="shared" si="7"/>
        <v>0</v>
      </c>
      <c r="T28" s="870"/>
      <c r="U28" s="882"/>
      <c r="V28" s="870"/>
      <c r="W28" s="870"/>
      <c r="X28" s="870"/>
      <c r="Y28" s="870"/>
      <c r="Z28" s="870"/>
      <c r="AA28" s="870"/>
      <c r="AB28" s="870"/>
      <c r="AC28" s="870"/>
      <c r="AD28" s="870"/>
      <c r="AE28" s="870"/>
      <c r="AF28" s="870"/>
      <c r="AG28" s="870"/>
    </row>
    <row r="29" spans="1:33" ht="18.75" customHeight="1" x14ac:dyDescent="0.3">
      <c r="A29" s="957"/>
      <c r="B29" s="42"/>
      <c r="C29" s="955"/>
      <c r="D29" s="41"/>
      <c r="E29" s="684"/>
      <c r="F29" s="684"/>
      <c r="G29" s="37"/>
      <c r="H29" s="684"/>
      <c r="I29" s="684"/>
      <c r="J29" s="37"/>
      <c r="K29" s="1055"/>
      <c r="L29" s="684"/>
      <c r="M29" s="684"/>
      <c r="N29" s="1095">
        <f t="shared" si="6"/>
        <v>0</v>
      </c>
      <c r="O29" s="940"/>
      <c r="P29" s="874"/>
      <c r="Q29" s="494"/>
      <c r="R29" s="764"/>
      <c r="S29" s="769">
        <f t="shared" si="7"/>
        <v>0</v>
      </c>
      <c r="T29" s="870"/>
      <c r="U29" s="882"/>
      <c r="V29" s="870"/>
      <c r="W29" s="870"/>
      <c r="X29" s="870"/>
      <c r="Y29" s="870"/>
      <c r="Z29" s="870"/>
      <c r="AA29" s="870"/>
      <c r="AB29" s="870"/>
      <c r="AC29" s="870"/>
      <c r="AD29" s="870"/>
      <c r="AE29" s="870"/>
      <c r="AF29" s="870"/>
      <c r="AG29" s="870"/>
    </row>
    <row r="30" spans="1:33" ht="18.75" customHeight="1" x14ac:dyDescent="0.3">
      <c r="A30" s="957"/>
      <c r="B30" s="42"/>
      <c r="C30" s="955"/>
      <c r="D30" s="41"/>
      <c r="E30" s="684"/>
      <c r="F30" s="684"/>
      <c r="G30" s="37"/>
      <c r="H30" s="684"/>
      <c r="I30" s="684"/>
      <c r="J30" s="37"/>
      <c r="K30" s="1055"/>
      <c r="L30" s="684"/>
      <c r="M30" s="684"/>
      <c r="N30" s="1095">
        <f t="shared" si="6"/>
        <v>0</v>
      </c>
      <c r="O30" s="937"/>
      <c r="P30" s="42"/>
      <c r="Q30" s="494"/>
      <c r="R30" s="764"/>
      <c r="S30" s="769">
        <f t="shared" si="7"/>
        <v>0</v>
      </c>
      <c r="T30" s="870"/>
      <c r="U30" s="882"/>
      <c r="V30" s="883"/>
      <c r="W30" s="883"/>
      <c r="X30" s="883"/>
      <c r="Y30" s="883"/>
      <c r="Z30" s="883"/>
      <c r="AA30" s="883"/>
      <c r="AB30" s="883"/>
      <c r="AC30" s="883"/>
      <c r="AD30" s="883"/>
      <c r="AE30" s="883"/>
      <c r="AF30" s="883"/>
      <c r="AG30" s="883"/>
    </row>
    <row r="31" spans="1:33" ht="18.75" customHeight="1" x14ac:dyDescent="0.3">
      <c r="A31" s="742"/>
      <c r="B31" s="482"/>
      <c r="C31" s="482"/>
      <c r="D31" s="149" t="s">
        <v>217</v>
      </c>
      <c r="E31" s="150">
        <f t="shared" ref="E31:M31" si="8">SUM(E20:E30)</f>
        <v>490659.77</v>
      </c>
      <c r="F31" s="150">
        <f t="shared" si="8"/>
        <v>0</v>
      </c>
      <c r="G31" s="150">
        <f t="shared" si="8"/>
        <v>0</v>
      </c>
      <c r="H31" s="150">
        <f t="shared" si="8"/>
        <v>15877</v>
      </c>
      <c r="I31" s="150">
        <f t="shared" si="8"/>
        <v>0</v>
      </c>
      <c r="J31" s="150">
        <f t="shared" si="8"/>
        <v>6609.66</v>
      </c>
      <c r="K31" s="150">
        <f t="shared" si="8"/>
        <v>0</v>
      </c>
      <c r="L31" s="150">
        <f t="shared" si="8"/>
        <v>0</v>
      </c>
      <c r="M31" s="150">
        <f t="shared" si="8"/>
        <v>0</v>
      </c>
      <c r="N31" s="483">
        <f t="shared" si="0"/>
        <v>513146.43</v>
      </c>
      <c r="O31" s="937"/>
      <c r="P31" s="876"/>
      <c r="Q31" s="494"/>
      <c r="R31" s="764"/>
      <c r="S31" s="769">
        <f t="shared" si="7"/>
        <v>513146.43</v>
      </c>
      <c r="T31" s="55"/>
      <c r="U31" s="395"/>
      <c r="V31" s="37"/>
      <c r="W31" s="37"/>
      <c r="X31" s="37"/>
      <c r="Y31" s="476"/>
      <c r="Z31" s="476"/>
      <c r="AA31" s="476"/>
      <c r="AB31" s="476"/>
      <c r="AC31" s="476"/>
      <c r="AD31" s="476"/>
      <c r="AE31" s="476"/>
      <c r="AF31" s="476"/>
      <c r="AG31" s="476"/>
    </row>
    <row r="32" spans="1:33" ht="18.75" customHeight="1" x14ac:dyDescent="0.3">
      <c r="A32" s="742"/>
      <c r="B32" s="482"/>
      <c r="C32" s="482"/>
      <c r="D32" s="149" t="s">
        <v>218</v>
      </c>
      <c r="E32" s="150">
        <f t="shared" ref="E32:M32" si="9">SUM(E18+E31)</f>
        <v>969974.84000000008</v>
      </c>
      <c r="F32" s="150">
        <f t="shared" si="9"/>
        <v>10748.869999999999</v>
      </c>
      <c r="G32" s="150">
        <f t="shared" si="9"/>
        <v>26880.09</v>
      </c>
      <c r="H32" s="150">
        <f t="shared" si="9"/>
        <v>69640</v>
      </c>
      <c r="I32" s="150">
        <f t="shared" si="9"/>
        <v>0</v>
      </c>
      <c r="J32" s="150">
        <f t="shared" si="9"/>
        <v>13219.32</v>
      </c>
      <c r="K32" s="150">
        <f t="shared" si="9"/>
        <v>0</v>
      </c>
      <c r="L32" s="150">
        <f t="shared" si="9"/>
        <v>0</v>
      </c>
      <c r="M32" s="150">
        <f t="shared" si="9"/>
        <v>0</v>
      </c>
      <c r="N32" s="483">
        <f t="shared" si="0"/>
        <v>1090463.1200000001</v>
      </c>
      <c r="O32" s="940"/>
      <c r="P32" s="874"/>
      <c r="Q32" s="494"/>
      <c r="R32" s="764"/>
      <c r="S32" s="769">
        <f t="shared" si="7"/>
        <v>1090463.1200000001</v>
      </c>
      <c r="T32" s="55"/>
      <c r="U32" s="395"/>
      <c r="V32" s="37"/>
      <c r="W32" s="37"/>
      <c r="X32" s="37"/>
      <c r="Y32" s="476"/>
      <c r="Z32" s="476"/>
      <c r="AA32" s="476"/>
      <c r="AB32" s="476"/>
      <c r="AC32" s="476"/>
      <c r="AD32" s="476"/>
      <c r="AE32" s="476"/>
      <c r="AF32" s="476"/>
      <c r="AG32" s="476"/>
    </row>
    <row r="33" spans="1:33" ht="18.75" customHeight="1" x14ac:dyDescent="0.3">
      <c r="A33" s="743"/>
      <c r="B33" s="484"/>
      <c r="C33" s="484"/>
      <c r="D33" s="152" t="s">
        <v>219</v>
      </c>
      <c r="E33" s="153">
        <f t="shared" ref="E33:M33" si="10">SUM(E19-E31)</f>
        <v>2049825.1600000001</v>
      </c>
      <c r="F33" s="153">
        <f t="shared" si="10"/>
        <v>109051.13</v>
      </c>
      <c r="G33" s="153">
        <f t="shared" si="10"/>
        <v>13119.91</v>
      </c>
      <c r="H33" s="153">
        <f t="shared" si="10"/>
        <v>155360</v>
      </c>
      <c r="I33" s="153">
        <f t="shared" si="10"/>
        <v>1200000</v>
      </c>
      <c r="J33" s="153">
        <f t="shared" si="10"/>
        <v>86780.68</v>
      </c>
      <c r="K33" s="153">
        <f t="shared" si="10"/>
        <v>164200</v>
      </c>
      <c r="L33" s="153">
        <f t="shared" si="10"/>
        <v>1495800</v>
      </c>
      <c r="M33" s="153">
        <f t="shared" si="10"/>
        <v>1100000</v>
      </c>
      <c r="N33" s="911">
        <f t="shared" si="0"/>
        <v>6374136.8800000008</v>
      </c>
      <c r="O33" s="940"/>
      <c r="P33" s="874"/>
      <c r="Q33" s="494"/>
      <c r="R33" s="764"/>
      <c r="S33" s="769">
        <f t="shared" si="7"/>
        <v>6374136.8800000008</v>
      </c>
      <c r="T33" s="55"/>
      <c r="U33" s="481"/>
      <c r="V33" s="37"/>
      <c r="W33" s="37"/>
      <c r="X33" s="37"/>
      <c r="Y33" s="476"/>
      <c r="Z33" s="476"/>
      <c r="AA33" s="476"/>
      <c r="AB33" s="476"/>
      <c r="AC33" s="476"/>
      <c r="AD33" s="476"/>
      <c r="AE33" s="476"/>
      <c r="AF33" s="476"/>
      <c r="AG33" s="476"/>
    </row>
    <row r="34" spans="1:33" ht="18.75" customHeight="1" x14ac:dyDescent="0.3">
      <c r="A34" s="1035" t="s">
        <v>220</v>
      </c>
      <c r="B34" s="42"/>
      <c r="C34" s="955"/>
      <c r="D34" s="41"/>
      <c r="E34" s="684"/>
      <c r="F34" s="684"/>
      <c r="G34" s="37"/>
      <c r="H34" s="684"/>
      <c r="I34" s="684"/>
      <c r="J34" s="37"/>
      <c r="K34" s="1055"/>
      <c r="L34" s="684"/>
      <c r="M34" s="1055"/>
      <c r="N34" s="1096">
        <f t="shared" si="0"/>
        <v>0</v>
      </c>
      <c r="O34" s="937"/>
      <c r="P34" s="42"/>
      <c r="Q34" s="494"/>
      <c r="R34" s="764"/>
      <c r="S34" s="769">
        <f t="shared" si="7"/>
        <v>0</v>
      </c>
      <c r="T34" s="37"/>
      <c r="U34" s="395"/>
      <c r="V34" s="37"/>
      <c r="W34" s="37"/>
      <c r="X34" s="37"/>
      <c r="Y34" s="476"/>
      <c r="Z34" s="476"/>
      <c r="AA34" s="476"/>
      <c r="AB34" s="476"/>
      <c r="AC34" s="476"/>
      <c r="AD34" s="476"/>
      <c r="AE34" s="476"/>
      <c r="AF34" s="476"/>
      <c r="AG34" s="476"/>
    </row>
    <row r="35" spans="1:33" ht="18.75" x14ac:dyDescent="0.3">
      <c r="A35" s="957">
        <v>45639</v>
      </c>
      <c r="B35" s="876" t="s">
        <v>1702</v>
      </c>
      <c r="C35" s="840" t="s">
        <v>1370</v>
      </c>
      <c r="D35" s="34" t="s">
        <v>1701</v>
      </c>
      <c r="E35" s="684"/>
      <c r="F35" s="684"/>
      <c r="G35" s="37"/>
      <c r="H35" s="684">
        <v>13456</v>
      </c>
      <c r="I35" s="684"/>
      <c r="J35" s="37"/>
      <c r="K35" s="1055"/>
      <c r="L35" s="684"/>
      <c r="M35" s="684"/>
      <c r="N35" s="1095">
        <f t="shared" ref="N35:N44" si="11">SUM(E35:M35)</f>
        <v>13456</v>
      </c>
      <c r="O35" s="937">
        <v>45642</v>
      </c>
      <c r="P35" s="42" t="s">
        <v>1703</v>
      </c>
      <c r="Q35" s="494">
        <v>13456</v>
      </c>
      <c r="R35" s="764"/>
      <c r="S35" s="769">
        <f>N35-Q35-R35</f>
        <v>0</v>
      </c>
      <c r="T35" s="870"/>
      <c r="U35" s="886"/>
      <c r="V35" s="886"/>
      <c r="W35" s="886"/>
      <c r="X35" s="870"/>
      <c r="Y35" s="870"/>
      <c r="Z35" s="870"/>
      <c r="AA35" s="870"/>
      <c r="AB35" s="870"/>
      <c r="AC35" s="870"/>
      <c r="AD35" s="870"/>
      <c r="AE35" s="870"/>
      <c r="AF35" s="870"/>
      <c r="AG35" s="870"/>
    </row>
    <row r="36" spans="1:33" ht="18.75" x14ac:dyDescent="0.3">
      <c r="A36" s="957">
        <v>45649</v>
      </c>
      <c r="B36" s="876" t="s">
        <v>1735</v>
      </c>
      <c r="C36" s="840" t="s">
        <v>1368</v>
      </c>
      <c r="D36" s="34" t="s">
        <v>1732</v>
      </c>
      <c r="E36" s="684"/>
      <c r="F36" s="684"/>
      <c r="G36" s="37"/>
      <c r="H36" s="684"/>
      <c r="I36" s="684"/>
      <c r="J36" s="37">
        <v>6609.66</v>
      </c>
      <c r="K36" s="1055"/>
      <c r="L36" s="684"/>
      <c r="M36" s="684"/>
      <c r="N36" s="1095">
        <f t="shared" si="11"/>
        <v>6609.66</v>
      </c>
      <c r="O36" s="937">
        <v>45651</v>
      </c>
      <c r="P36" s="42" t="s">
        <v>1738</v>
      </c>
      <c r="Q36" s="494">
        <v>6609.66</v>
      </c>
      <c r="R36" s="764"/>
      <c r="S36" s="769">
        <f t="shared" ref="S36:S44" si="12">N36-Q36-R36</f>
        <v>0</v>
      </c>
      <c r="T36" s="870"/>
      <c r="U36" s="910"/>
      <c r="V36" s="886"/>
      <c r="W36" s="886"/>
      <c r="X36" s="870"/>
      <c r="Y36" s="870"/>
      <c r="Z36" s="870"/>
      <c r="AA36" s="870"/>
      <c r="AB36" s="870"/>
      <c r="AC36" s="870"/>
      <c r="AD36" s="870"/>
      <c r="AE36" s="870"/>
      <c r="AF36" s="870"/>
      <c r="AG36" s="870"/>
    </row>
    <row r="37" spans="1:33" ht="18.75" customHeight="1" x14ac:dyDescent="0.3">
      <c r="A37" s="957">
        <v>45650</v>
      </c>
      <c r="B37" s="876" t="s">
        <v>1736</v>
      </c>
      <c r="C37" s="840" t="s">
        <v>1370</v>
      </c>
      <c r="D37" s="34" t="s">
        <v>1733</v>
      </c>
      <c r="E37" s="684">
        <v>474629.22</v>
      </c>
      <c r="F37" s="684"/>
      <c r="G37" s="37"/>
      <c r="H37" s="684"/>
      <c r="I37" s="684"/>
      <c r="J37" s="37"/>
      <c r="K37" s="1055"/>
      <c r="L37" s="684"/>
      <c r="M37" s="684"/>
      <c r="N37" s="1095">
        <f t="shared" si="11"/>
        <v>474629.22</v>
      </c>
      <c r="O37" s="937">
        <v>45651</v>
      </c>
      <c r="P37" s="65" t="s">
        <v>1739</v>
      </c>
      <c r="Q37" s="494">
        <v>474629.22</v>
      </c>
      <c r="R37" s="764"/>
      <c r="S37" s="769">
        <f t="shared" si="12"/>
        <v>0</v>
      </c>
      <c r="T37" s="870"/>
      <c r="U37" s="882"/>
      <c r="V37" s="870"/>
      <c r="W37" s="870"/>
      <c r="X37" s="870"/>
      <c r="Y37" s="870"/>
      <c r="Z37" s="870"/>
      <c r="AA37" s="870"/>
      <c r="AB37" s="870"/>
      <c r="AC37" s="870"/>
      <c r="AD37" s="870"/>
      <c r="AE37" s="870"/>
      <c r="AF37" s="870"/>
      <c r="AG37" s="870"/>
    </row>
    <row r="38" spans="1:33" ht="18.75" customHeight="1" x14ac:dyDescent="0.3">
      <c r="A38" s="957">
        <v>45650</v>
      </c>
      <c r="B38" s="876" t="s">
        <v>1737</v>
      </c>
      <c r="C38" s="955" t="s">
        <v>1370</v>
      </c>
      <c r="D38" s="34" t="s">
        <v>1734</v>
      </c>
      <c r="E38" s="684">
        <v>47475.63</v>
      </c>
      <c r="F38" s="684"/>
      <c r="G38" s="37"/>
      <c r="H38" s="684"/>
      <c r="I38" s="684"/>
      <c r="J38" s="37"/>
      <c r="K38" s="1055"/>
      <c r="L38" s="684"/>
      <c r="M38" s="684"/>
      <c r="N38" s="1095">
        <f t="shared" si="11"/>
        <v>47475.63</v>
      </c>
      <c r="O38" s="937">
        <v>45651</v>
      </c>
      <c r="P38" s="874" t="s">
        <v>1740</v>
      </c>
      <c r="Q38" s="875">
        <v>47475.63</v>
      </c>
      <c r="R38" s="764"/>
      <c r="S38" s="769">
        <f t="shared" si="12"/>
        <v>0</v>
      </c>
      <c r="T38" s="870"/>
      <c r="U38" s="882"/>
      <c r="V38" s="870"/>
      <c r="W38" s="870"/>
      <c r="X38" s="870"/>
      <c r="Y38" s="870"/>
      <c r="Z38" s="870"/>
      <c r="AA38" s="870"/>
      <c r="AB38" s="870"/>
      <c r="AC38" s="870"/>
      <c r="AD38" s="870"/>
      <c r="AE38" s="870"/>
      <c r="AF38" s="870"/>
      <c r="AG38" s="870"/>
    </row>
    <row r="39" spans="1:33" ht="18.75" customHeight="1" x14ac:dyDescent="0.3">
      <c r="A39" s="957"/>
      <c r="B39" s="42"/>
      <c r="C39" s="955"/>
      <c r="D39" s="41"/>
      <c r="E39" s="684"/>
      <c r="F39" s="684"/>
      <c r="G39" s="37"/>
      <c r="H39" s="684"/>
      <c r="I39" s="684"/>
      <c r="J39" s="37"/>
      <c r="K39" s="1055"/>
      <c r="L39" s="684"/>
      <c r="M39" s="684"/>
      <c r="N39" s="1095">
        <f t="shared" si="11"/>
        <v>0</v>
      </c>
      <c r="O39" s="940"/>
      <c r="P39" s="874"/>
      <c r="Q39" s="494"/>
      <c r="R39" s="764"/>
      <c r="S39" s="769">
        <f t="shared" si="12"/>
        <v>0</v>
      </c>
      <c r="T39" s="870"/>
      <c r="U39" s="882"/>
      <c r="V39" s="870"/>
      <c r="W39" s="870"/>
      <c r="X39" s="870"/>
      <c r="Y39" s="870"/>
      <c r="Z39" s="870"/>
      <c r="AA39" s="870"/>
      <c r="AB39" s="870"/>
      <c r="AC39" s="870"/>
      <c r="AD39" s="870"/>
      <c r="AE39" s="870"/>
      <c r="AF39" s="870"/>
      <c r="AG39" s="870"/>
    </row>
    <row r="40" spans="1:33" ht="18.75" customHeight="1" x14ac:dyDescent="0.3">
      <c r="A40" s="957"/>
      <c r="B40" s="42"/>
      <c r="C40" s="955"/>
      <c r="D40" s="41"/>
      <c r="E40" s="684"/>
      <c r="F40" s="684"/>
      <c r="G40" s="37"/>
      <c r="H40" s="684"/>
      <c r="I40" s="684"/>
      <c r="J40" s="37"/>
      <c r="K40" s="1055"/>
      <c r="L40" s="684"/>
      <c r="M40" s="684"/>
      <c r="N40" s="1095">
        <f t="shared" si="11"/>
        <v>0</v>
      </c>
      <c r="O40" s="940"/>
      <c r="P40" s="874"/>
      <c r="Q40" s="494"/>
      <c r="R40" s="764"/>
      <c r="S40" s="769">
        <f t="shared" si="12"/>
        <v>0</v>
      </c>
      <c r="T40" s="870"/>
      <c r="U40" s="882"/>
      <c r="V40" s="870"/>
      <c r="W40" s="870"/>
      <c r="X40" s="870"/>
      <c r="Y40" s="870"/>
      <c r="Z40" s="870"/>
      <c r="AA40" s="870"/>
      <c r="AB40" s="870"/>
      <c r="AC40" s="870"/>
      <c r="AD40" s="870"/>
      <c r="AE40" s="870"/>
      <c r="AF40" s="870"/>
      <c r="AG40" s="870"/>
    </row>
    <row r="41" spans="1:33" ht="18.75" customHeight="1" x14ac:dyDescent="0.3">
      <c r="A41" s="957"/>
      <c r="B41" s="42"/>
      <c r="C41" s="955"/>
      <c r="D41" s="41"/>
      <c r="E41" s="684"/>
      <c r="F41" s="684"/>
      <c r="G41" s="37"/>
      <c r="H41" s="684"/>
      <c r="I41" s="684"/>
      <c r="J41" s="37"/>
      <c r="K41" s="1055"/>
      <c r="L41" s="684"/>
      <c r="M41" s="684"/>
      <c r="N41" s="1095">
        <f t="shared" si="11"/>
        <v>0</v>
      </c>
      <c r="O41" s="937"/>
      <c r="P41" s="876"/>
      <c r="Q41" s="494"/>
      <c r="R41" s="764"/>
      <c r="S41" s="769">
        <f t="shared" si="12"/>
        <v>0</v>
      </c>
      <c r="T41" s="870"/>
      <c r="U41" s="882"/>
      <c r="V41" s="870"/>
      <c r="W41" s="870"/>
      <c r="X41" s="870"/>
      <c r="Y41" s="870"/>
      <c r="Z41" s="870"/>
      <c r="AA41" s="870"/>
      <c r="AB41" s="870"/>
      <c r="AC41" s="870"/>
      <c r="AD41" s="870"/>
      <c r="AE41" s="870"/>
      <c r="AF41" s="870"/>
      <c r="AG41" s="870"/>
    </row>
    <row r="42" spans="1:33" ht="18.75" customHeight="1" x14ac:dyDescent="0.3">
      <c r="A42" s="957"/>
      <c r="B42" s="42"/>
      <c r="C42" s="955"/>
      <c r="D42" s="41"/>
      <c r="E42" s="684"/>
      <c r="F42" s="684"/>
      <c r="G42" s="37"/>
      <c r="H42" s="684"/>
      <c r="I42" s="684"/>
      <c r="J42" s="37"/>
      <c r="K42" s="1055"/>
      <c r="L42" s="684"/>
      <c r="M42" s="684"/>
      <c r="N42" s="1095">
        <f t="shared" si="11"/>
        <v>0</v>
      </c>
      <c r="O42" s="940"/>
      <c r="P42" s="874"/>
      <c r="Q42" s="494"/>
      <c r="R42" s="764"/>
      <c r="S42" s="769">
        <f t="shared" si="12"/>
        <v>0</v>
      </c>
      <c r="T42" s="870"/>
      <c r="U42" s="882"/>
      <c r="V42" s="870"/>
      <c r="W42" s="870"/>
      <c r="X42" s="870"/>
      <c r="Y42" s="870"/>
      <c r="Z42" s="870"/>
      <c r="AA42" s="870"/>
      <c r="AB42" s="870"/>
      <c r="AC42" s="870"/>
      <c r="AD42" s="870"/>
      <c r="AE42" s="870"/>
      <c r="AF42" s="870"/>
      <c r="AG42" s="870"/>
    </row>
    <row r="43" spans="1:33" ht="18.75" customHeight="1" x14ac:dyDescent="0.3">
      <c r="A43" s="957"/>
      <c r="B43" s="42"/>
      <c r="C43" s="955"/>
      <c r="D43" s="41"/>
      <c r="E43" s="684"/>
      <c r="F43" s="684"/>
      <c r="G43" s="37"/>
      <c r="H43" s="684"/>
      <c r="I43" s="684"/>
      <c r="J43" s="37"/>
      <c r="K43" s="1055"/>
      <c r="L43" s="684"/>
      <c r="M43" s="684"/>
      <c r="N43" s="1095">
        <f t="shared" si="11"/>
        <v>0</v>
      </c>
      <c r="O43" s="940"/>
      <c r="P43" s="874"/>
      <c r="Q43" s="494"/>
      <c r="R43" s="764"/>
      <c r="S43" s="769">
        <f t="shared" si="12"/>
        <v>0</v>
      </c>
      <c r="T43" s="870"/>
      <c r="U43" s="882"/>
      <c r="V43" s="870"/>
      <c r="W43" s="870"/>
      <c r="X43" s="870"/>
      <c r="Y43" s="870"/>
      <c r="Z43" s="870"/>
      <c r="AA43" s="870"/>
      <c r="AB43" s="870"/>
      <c r="AC43" s="870"/>
      <c r="AD43" s="870"/>
      <c r="AE43" s="870"/>
      <c r="AF43" s="870"/>
      <c r="AG43" s="870"/>
    </row>
    <row r="44" spans="1:33" ht="18.75" customHeight="1" x14ac:dyDescent="0.3">
      <c r="A44" s="957"/>
      <c r="B44" s="42"/>
      <c r="C44" s="955"/>
      <c r="D44" s="41"/>
      <c r="E44" s="684"/>
      <c r="F44" s="684"/>
      <c r="G44" s="37"/>
      <c r="H44" s="684"/>
      <c r="I44" s="684"/>
      <c r="J44" s="37"/>
      <c r="K44" s="1055"/>
      <c r="L44" s="684"/>
      <c r="M44" s="684"/>
      <c r="N44" s="1095">
        <f t="shared" si="11"/>
        <v>0</v>
      </c>
      <c r="O44" s="937"/>
      <c r="P44" s="42"/>
      <c r="Q44" s="494"/>
      <c r="R44" s="764"/>
      <c r="S44" s="769">
        <f t="shared" si="12"/>
        <v>0</v>
      </c>
      <c r="T44" s="870"/>
      <c r="U44" s="882"/>
      <c r="V44" s="883"/>
      <c r="W44" s="883"/>
      <c r="X44" s="883"/>
      <c r="Y44" s="883"/>
      <c r="Z44" s="883"/>
      <c r="AA44" s="883"/>
      <c r="AB44" s="883"/>
      <c r="AC44" s="883"/>
      <c r="AD44" s="883"/>
      <c r="AE44" s="883"/>
      <c r="AF44" s="883"/>
      <c r="AG44" s="883"/>
    </row>
    <row r="45" spans="1:33" ht="18.75" customHeight="1" x14ac:dyDescent="0.3">
      <c r="A45" s="742"/>
      <c r="B45" s="482"/>
      <c r="C45" s="482"/>
      <c r="D45" s="149" t="s">
        <v>221</v>
      </c>
      <c r="E45" s="150">
        <f t="shared" ref="E45:M45" si="13">SUM(E34:E44)</f>
        <v>522104.85</v>
      </c>
      <c r="F45" s="150">
        <f t="shared" si="13"/>
        <v>0</v>
      </c>
      <c r="G45" s="150">
        <f t="shared" si="13"/>
        <v>0</v>
      </c>
      <c r="H45" s="150">
        <f t="shared" si="13"/>
        <v>13456</v>
      </c>
      <c r="I45" s="150">
        <f t="shared" si="13"/>
        <v>0</v>
      </c>
      <c r="J45" s="150">
        <f t="shared" si="13"/>
        <v>6609.66</v>
      </c>
      <c r="K45" s="150">
        <f t="shared" si="13"/>
        <v>0</v>
      </c>
      <c r="L45" s="150">
        <f t="shared" si="13"/>
        <v>0</v>
      </c>
      <c r="M45" s="150">
        <f t="shared" si="13"/>
        <v>0</v>
      </c>
      <c r="N45" s="483">
        <f t="shared" si="0"/>
        <v>542170.51</v>
      </c>
      <c r="O45" s="937"/>
      <c r="P45" s="490"/>
      <c r="Q45" s="509"/>
      <c r="R45" s="765"/>
      <c r="S45" s="769"/>
      <c r="T45" s="55"/>
      <c r="U45" s="395"/>
      <c r="V45" s="43"/>
      <c r="W45" s="43"/>
      <c r="X45" s="43"/>
      <c r="Y45" s="477"/>
      <c r="Z45" s="477"/>
      <c r="AA45" s="477"/>
      <c r="AB45" s="477"/>
      <c r="AC45" s="477"/>
      <c r="AD45" s="477"/>
      <c r="AE45" s="477"/>
      <c r="AF45" s="477"/>
      <c r="AG45" s="477"/>
    </row>
    <row r="46" spans="1:33" ht="18.75" customHeight="1" x14ac:dyDescent="0.3">
      <c r="A46" s="742"/>
      <c r="B46" s="482"/>
      <c r="C46" s="482"/>
      <c r="D46" s="149" t="s">
        <v>222</v>
      </c>
      <c r="E46" s="150">
        <f t="shared" ref="E46:M46" si="14">SUM(E32+E45)</f>
        <v>1492079.69</v>
      </c>
      <c r="F46" s="150">
        <f t="shared" si="14"/>
        <v>10748.869999999999</v>
      </c>
      <c r="G46" s="150">
        <f t="shared" si="14"/>
        <v>26880.09</v>
      </c>
      <c r="H46" s="150">
        <f t="shared" si="14"/>
        <v>83096</v>
      </c>
      <c r="I46" s="150">
        <f t="shared" si="14"/>
        <v>0</v>
      </c>
      <c r="J46" s="150">
        <f t="shared" si="14"/>
        <v>19828.98</v>
      </c>
      <c r="K46" s="150">
        <f t="shared" si="14"/>
        <v>0</v>
      </c>
      <c r="L46" s="150">
        <f t="shared" si="14"/>
        <v>0</v>
      </c>
      <c r="M46" s="150">
        <f t="shared" si="14"/>
        <v>0</v>
      </c>
      <c r="N46" s="483">
        <f t="shared" si="0"/>
        <v>1632633.6300000001</v>
      </c>
      <c r="O46" s="937"/>
      <c r="P46" s="490"/>
      <c r="Q46" s="509"/>
      <c r="R46" s="765"/>
      <c r="S46" s="769"/>
      <c r="T46" s="55"/>
      <c r="U46" s="395"/>
      <c r="V46" s="43"/>
      <c r="W46" s="43"/>
      <c r="X46" s="43"/>
      <c r="Y46" s="477"/>
      <c r="Z46" s="477"/>
      <c r="AA46" s="477"/>
      <c r="AB46" s="477"/>
      <c r="AC46" s="477"/>
      <c r="AD46" s="477"/>
      <c r="AE46" s="477"/>
      <c r="AF46" s="477"/>
      <c r="AG46" s="477"/>
    </row>
    <row r="47" spans="1:33" ht="18.75" customHeight="1" x14ac:dyDescent="0.3">
      <c r="A47" s="743"/>
      <c r="B47" s="484"/>
      <c r="C47" s="484"/>
      <c r="D47" s="152" t="s">
        <v>223</v>
      </c>
      <c r="E47" s="153">
        <f t="shared" ref="E47:M47" si="15">SUM(E33-E45)</f>
        <v>1527720.31</v>
      </c>
      <c r="F47" s="153">
        <f t="shared" si="15"/>
        <v>109051.13</v>
      </c>
      <c r="G47" s="153">
        <f t="shared" si="15"/>
        <v>13119.91</v>
      </c>
      <c r="H47" s="153">
        <f t="shared" si="15"/>
        <v>141904</v>
      </c>
      <c r="I47" s="153">
        <f t="shared" si="15"/>
        <v>1200000</v>
      </c>
      <c r="J47" s="153">
        <f t="shared" si="15"/>
        <v>80171.01999999999</v>
      </c>
      <c r="K47" s="153">
        <f t="shared" si="15"/>
        <v>164200</v>
      </c>
      <c r="L47" s="153">
        <f t="shared" si="15"/>
        <v>1495800</v>
      </c>
      <c r="M47" s="153">
        <f t="shared" si="15"/>
        <v>1100000</v>
      </c>
      <c r="N47" s="483">
        <f t="shared" si="0"/>
        <v>5831966.3699999992</v>
      </c>
      <c r="O47" s="937"/>
      <c r="P47" s="42"/>
      <c r="Q47" s="494"/>
      <c r="R47" s="764"/>
      <c r="S47" s="769">
        <f t="shared" ref="S47" si="16">N47-Q47-R47</f>
        <v>5831966.3699999992</v>
      </c>
      <c r="T47" s="55"/>
      <c r="U47" s="395"/>
      <c r="V47" s="43"/>
      <c r="W47" s="43"/>
      <c r="X47" s="43"/>
      <c r="Y47" s="477"/>
      <c r="Z47" s="477"/>
      <c r="AA47" s="477"/>
      <c r="AB47" s="477"/>
      <c r="AC47" s="477"/>
      <c r="AD47" s="477"/>
      <c r="AE47" s="477"/>
      <c r="AF47" s="477"/>
      <c r="AG47" s="477"/>
    </row>
    <row r="48" spans="1:33" ht="18.75" customHeight="1" x14ac:dyDescent="0.3">
      <c r="A48" s="1035" t="s">
        <v>224</v>
      </c>
      <c r="B48" s="42"/>
      <c r="C48" s="955"/>
      <c r="D48" s="41"/>
      <c r="E48" s="684"/>
      <c r="F48" s="684"/>
      <c r="G48" s="37"/>
      <c r="H48" s="684"/>
      <c r="I48" s="684"/>
      <c r="J48" s="37"/>
      <c r="K48" s="1055"/>
      <c r="L48" s="684"/>
      <c r="M48" s="1055"/>
      <c r="N48" s="1097">
        <f t="shared" si="0"/>
        <v>0</v>
      </c>
      <c r="O48" s="937"/>
      <c r="P48" s="42"/>
      <c r="Q48" s="494"/>
      <c r="R48" s="764"/>
      <c r="S48" s="769">
        <f>N48-Q48-R48</f>
        <v>0</v>
      </c>
      <c r="T48" s="37"/>
      <c r="U48" s="395"/>
      <c r="V48" s="43"/>
      <c r="W48" s="43"/>
      <c r="X48" s="43"/>
      <c r="Y48" s="477"/>
      <c r="Z48" s="477"/>
      <c r="AA48" s="477"/>
      <c r="AB48" s="477"/>
      <c r="AC48" s="477"/>
      <c r="AD48" s="477"/>
      <c r="AE48" s="477"/>
      <c r="AF48" s="477"/>
      <c r="AG48" s="477"/>
    </row>
    <row r="49" spans="1:33" ht="18.75" x14ac:dyDescent="0.3">
      <c r="A49" s="957">
        <v>45659</v>
      </c>
      <c r="B49" s="876" t="s">
        <v>1892</v>
      </c>
      <c r="C49" s="840" t="s">
        <v>1891</v>
      </c>
      <c r="D49" s="34" t="s">
        <v>1890</v>
      </c>
      <c r="E49" s="684"/>
      <c r="F49" s="684"/>
      <c r="G49" s="37"/>
      <c r="H49" s="684"/>
      <c r="I49" s="684"/>
      <c r="J49" s="37"/>
      <c r="K49" s="1055"/>
      <c r="L49" s="684">
        <v>1449950</v>
      </c>
      <c r="M49" s="684"/>
      <c r="N49" s="1095">
        <f t="shared" ref="N49:N58" si="17">SUM(E49:M49)</f>
        <v>1449950</v>
      </c>
      <c r="O49" s="937">
        <v>45679</v>
      </c>
      <c r="P49" s="42" t="s">
        <v>1893</v>
      </c>
      <c r="Q49" s="494">
        <v>241562</v>
      </c>
      <c r="R49" s="764"/>
      <c r="S49" s="769">
        <f>N49-Q49-R49</f>
        <v>1208388</v>
      </c>
      <c r="T49" s="870"/>
      <c r="U49" s="886"/>
      <c r="V49" s="886"/>
      <c r="W49" s="886"/>
      <c r="X49" s="870"/>
      <c r="Y49" s="870"/>
      <c r="Z49" s="870"/>
      <c r="AA49" s="870"/>
      <c r="AB49" s="870"/>
      <c r="AC49" s="870"/>
      <c r="AD49" s="870"/>
      <c r="AE49" s="870"/>
      <c r="AF49" s="870"/>
      <c r="AG49" s="870"/>
    </row>
    <row r="50" spans="1:33" ht="18.75" x14ac:dyDescent="0.3">
      <c r="A50" s="957">
        <v>45663</v>
      </c>
      <c r="B50" s="876" t="s">
        <v>1925</v>
      </c>
      <c r="C50" s="840" t="s">
        <v>1307</v>
      </c>
      <c r="D50" s="34" t="s">
        <v>1923</v>
      </c>
      <c r="E50" s="684"/>
      <c r="F50" s="684"/>
      <c r="G50" s="37"/>
      <c r="H50" s="684"/>
      <c r="I50" s="684"/>
      <c r="J50" s="37"/>
      <c r="K50" s="1055">
        <v>64200</v>
      </c>
      <c r="L50" s="684"/>
      <c r="M50" s="684"/>
      <c r="N50" s="1095">
        <f>SUM(E50:M50)</f>
        <v>64200</v>
      </c>
      <c r="O50" s="937">
        <v>45664</v>
      </c>
      <c r="P50" s="42" t="s">
        <v>1924</v>
      </c>
      <c r="Q50" s="494">
        <v>64200</v>
      </c>
      <c r="R50" s="764"/>
      <c r="S50" s="769">
        <f>N50-Q50-R50</f>
        <v>0</v>
      </c>
      <c r="T50" s="870"/>
      <c r="U50" s="910"/>
      <c r="V50" s="886"/>
      <c r="W50" s="886"/>
      <c r="X50" s="870"/>
      <c r="Y50" s="870"/>
      <c r="Z50" s="870"/>
      <c r="AA50" s="870"/>
      <c r="AB50" s="870"/>
      <c r="AC50" s="870"/>
      <c r="AD50" s="870"/>
      <c r="AE50" s="870"/>
      <c r="AF50" s="870"/>
      <c r="AG50" s="870"/>
    </row>
    <row r="51" spans="1:33" ht="18.75" customHeight="1" x14ac:dyDescent="0.3">
      <c r="A51" s="957">
        <v>45674</v>
      </c>
      <c r="B51" s="876" t="s">
        <v>1975</v>
      </c>
      <c r="C51" s="840" t="s">
        <v>1370</v>
      </c>
      <c r="D51" s="34" t="s">
        <v>1974</v>
      </c>
      <c r="E51" s="684"/>
      <c r="F51" s="684"/>
      <c r="G51" s="37"/>
      <c r="H51" s="684">
        <v>11351</v>
      </c>
      <c r="I51" s="684"/>
      <c r="J51" s="37"/>
      <c r="K51" s="1055"/>
      <c r="L51" s="684"/>
      <c r="M51" s="684"/>
      <c r="N51" s="1095">
        <f t="shared" si="17"/>
        <v>11351</v>
      </c>
      <c r="O51" s="937">
        <v>45677</v>
      </c>
      <c r="P51" s="65" t="s">
        <v>1976</v>
      </c>
      <c r="Q51" s="494">
        <v>11351</v>
      </c>
      <c r="R51" s="764"/>
      <c r="S51" s="769">
        <f t="shared" ref="S51:S62" si="18">N51-Q51-R51</f>
        <v>0</v>
      </c>
      <c r="T51" s="870"/>
      <c r="U51" s="882"/>
      <c r="V51" s="870"/>
      <c r="W51" s="870"/>
      <c r="X51" s="870"/>
      <c r="Y51" s="870"/>
      <c r="Z51" s="870"/>
      <c r="AA51" s="870"/>
      <c r="AB51" s="870"/>
      <c r="AC51" s="870"/>
      <c r="AD51" s="870"/>
      <c r="AE51" s="870"/>
      <c r="AF51" s="870"/>
      <c r="AG51" s="870"/>
    </row>
    <row r="52" spans="1:33" ht="18.75" customHeight="1" x14ac:dyDescent="0.3">
      <c r="A52" s="957">
        <v>45678</v>
      </c>
      <c r="B52" s="876" t="s">
        <v>1995</v>
      </c>
      <c r="C52" s="955" t="s">
        <v>1368</v>
      </c>
      <c r="D52" s="34" t="s">
        <v>1993</v>
      </c>
      <c r="E52" s="684"/>
      <c r="F52" s="684"/>
      <c r="G52" s="37"/>
      <c r="H52" s="684"/>
      <c r="I52" s="684"/>
      <c r="J52" s="37">
        <v>6609.66</v>
      </c>
      <c r="K52" s="1055"/>
      <c r="L52" s="684"/>
      <c r="M52" s="684"/>
      <c r="N52" s="1095">
        <f t="shared" si="17"/>
        <v>6609.66</v>
      </c>
      <c r="O52" s="940">
        <v>45679</v>
      </c>
      <c r="P52" s="874" t="s">
        <v>1997</v>
      </c>
      <c r="Q52" s="875">
        <v>6609.66</v>
      </c>
      <c r="R52" s="764"/>
      <c r="S52" s="769">
        <f t="shared" si="18"/>
        <v>0</v>
      </c>
      <c r="T52" s="870"/>
      <c r="U52" s="882"/>
      <c r="V52" s="870"/>
      <c r="W52" s="870"/>
      <c r="X52" s="870"/>
      <c r="Y52" s="870"/>
      <c r="Z52" s="870"/>
      <c r="AA52" s="870"/>
      <c r="AB52" s="870"/>
      <c r="AC52" s="870"/>
      <c r="AD52" s="870"/>
      <c r="AE52" s="870"/>
      <c r="AF52" s="870"/>
      <c r="AG52" s="870"/>
    </row>
    <row r="53" spans="1:33" ht="18.75" customHeight="1" x14ac:dyDescent="0.3">
      <c r="A53" s="957">
        <v>45679</v>
      </c>
      <c r="B53" s="876" t="s">
        <v>1996</v>
      </c>
      <c r="C53" s="955" t="s">
        <v>1370</v>
      </c>
      <c r="D53" s="41" t="s">
        <v>1994</v>
      </c>
      <c r="E53" s="684">
        <v>416587.83</v>
      </c>
      <c r="F53" s="684"/>
      <c r="G53" s="37"/>
      <c r="H53" s="684"/>
      <c r="I53" s="684"/>
      <c r="J53" s="37"/>
      <c r="K53" s="1055"/>
      <c r="L53" s="684"/>
      <c r="M53" s="684"/>
      <c r="N53" s="1095">
        <f t="shared" si="17"/>
        <v>416587.83</v>
      </c>
      <c r="O53" s="940">
        <v>45679</v>
      </c>
      <c r="P53" s="874" t="s">
        <v>1998</v>
      </c>
      <c r="Q53" s="494">
        <v>416587.83</v>
      </c>
      <c r="R53" s="764"/>
      <c r="S53" s="769">
        <f t="shared" si="18"/>
        <v>0</v>
      </c>
      <c r="T53" s="870"/>
      <c r="U53" s="882"/>
      <c r="V53" s="870"/>
      <c r="W53" s="870"/>
      <c r="X53" s="870"/>
      <c r="Y53" s="870"/>
      <c r="Z53" s="870"/>
      <c r="AA53" s="870"/>
      <c r="AB53" s="870"/>
      <c r="AC53" s="870"/>
      <c r="AD53" s="870"/>
      <c r="AE53" s="870"/>
      <c r="AF53" s="870"/>
      <c r="AG53" s="870"/>
    </row>
    <row r="54" spans="1:33" ht="37.5" x14ac:dyDescent="0.3">
      <c r="A54" s="957">
        <v>45685</v>
      </c>
      <c r="B54" s="876" t="s">
        <v>2021</v>
      </c>
      <c r="C54" s="955" t="s">
        <v>2018</v>
      </c>
      <c r="D54" s="34" t="s">
        <v>2020</v>
      </c>
      <c r="E54" s="684"/>
      <c r="F54" s="684"/>
      <c r="G54" s="37"/>
      <c r="H54" s="684"/>
      <c r="I54" s="684"/>
      <c r="J54" s="37"/>
      <c r="K54" s="1055"/>
      <c r="L54" s="684"/>
      <c r="M54" s="684">
        <v>1145328</v>
      </c>
      <c r="N54" s="1095">
        <f t="shared" si="17"/>
        <v>1145328</v>
      </c>
      <c r="O54" s="940"/>
      <c r="P54" s="874"/>
      <c r="Q54" s="494"/>
      <c r="R54" s="764"/>
      <c r="S54" s="769">
        <f t="shared" si="18"/>
        <v>1145328</v>
      </c>
      <c r="T54" s="870"/>
      <c r="U54" s="882"/>
      <c r="V54" s="870"/>
      <c r="W54" s="870"/>
      <c r="X54" s="870"/>
      <c r="Y54" s="870"/>
      <c r="Z54" s="870"/>
      <c r="AA54" s="870"/>
      <c r="AB54" s="870"/>
      <c r="AC54" s="870"/>
      <c r="AD54" s="870"/>
      <c r="AE54" s="870"/>
      <c r="AF54" s="870"/>
      <c r="AG54" s="870"/>
    </row>
    <row r="55" spans="1:33" ht="18.75" customHeight="1" x14ac:dyDescent="0.3">
      <c r="A55" s="1070">
        <v>45685</v>
      </c>
      <c r="B55" s="1193" t="s">
        <v>2022</v>
      </c>
      <c r="C55" s="1071" t="s">
        <v>2018</v>
      </c>
      <c r="D55" s="40" t="s">
        <v>2019</v>
      </c>
      <c r="E55" s="1057"/>
      <c r="F55" s="1057"/>
      <c r="G55" s="43"/>
      <c r="H55" s="1057"/>
      <c r="I55" s="1057"/>
      <c r="J55" s="43"/>
      <c r="K55" s="1059"/>
      <c r="L55" s="1057"/>
      <c r="M55" s="1057">
        <v>0</v>
      </c>
      <c r="N55" s="1057">
        <f t="shared" si="17"/>
        <v>0</v>
      </c>
      <c r="O55" s="937"/>
      <c r="P55" s="876"/>
      <c r="Q55" s="494"/>
      <c r="R55" s="764"/>
      <c r="S55" s="769">
        <f t="shared" si="18"/>
        <v>0</v>
      </c>
      <c r="T55" s="870"/>
      <c r="U55" s="882"/>
      <c r="V55" s="870"/>
      <c r="W55" s="870"/>
      <c r="X55" s="870"/>
      <c r="Y55" s="870"/>
      <c r="Z55" s="870"/>
      <c r="AA55" s="870"/>
      <c r="AB55" s="870"/>
      <c r="AC55" s="870"/>
      <c r="AD55" s="870"/>
      <c r="AE55" s="870"/>
      <c r="AF55" s="870"/>
      <c r="AG55" s="870"/>
    </row>
    <row r="56" spans="1:33" ht="18.75" customHeight="1" x14ac:dyDescent="0.3">
      <c r="A56" s="957"/>
      <c r="B56" s="42"/>
      <c r="C56" s="955"/>
      <c r="D56" s="41"/>
      <c r="E56" s="684"/>
      <c r="F56" s="684"/>
      <c r="G56" s="37"/>
      <c r="H56" s="684"/>
      <c r="I56" s="684"/>
      <c r="J56" s="37"/>
      <c r="K56" s="1055"/>
      <c r="L56" s="684"/>
      <c r="M56" s="684"/>
      <c r="N56" s="1095">
        <f t="shared" si="17"/>
        <v>0</v>
      </c>
      <c r="O56" s="940"/>
      <c r="P56" s="874"/>
      <c r="Q56" s="494"/>
      <c r="R56" s="764"/>
      <c r="S56" s="769">
        <f t="shared" si="18"/>
        <v>0</v>
      </c>
      <c r="T56" s="870"/>
      <c r="U56" s="882"/>
      <c r="V56" s="870"/>
      <c r="W56" s="870"/>
      <c r="X56" s="870"/>
      <c r="Y56" s="870"/>
      <c r="Z56" s="870"/>
      <c r="AA56" s="870"/>
      <c r="AB56" s="870"/>
      <c r="AC56" s="870"/>
      <c r="AD56" s="870"/>
      <c r="AE56" s="870"/>
      <c r="AF56" s="870"/>
      <c r="AG56" s="870"/>
    </row>
    <row r="57" spans="1:33" ht="18.75" customHeight="1" x14ac:dyDescent="0.3">
      <c r="A57" s="957"/>
      <c r="B57" s="42"/>
      <c r="C57" s="955"/>
      <c r="D57" s="41"/>
      <c r="E57" s="684"/>
      <c r="F57" s="684"/>
      <c r="G57" s="37"/>
      <c r="H57" s="684"/>
      <c r="I57" s="684"/>
      <c r="J57" s="37"/>
      <c r="K57" s="1055"/>
      <c r="L57" s="684"/>
      <c r="M57" s="684"/>
      <c r="N57" s="1095">
        <f t="shared" si="17"/>
        <v>0</v>
      </c>
      <c r="O57" s="940"/>
      <c r="P57" s="874"/>
      <c r="Q57" s="494"/>
      <c r="R57" s="764"/>
      <c r="S57" s="769">
        <f t="shared" si="18"/>
        <v>0</v>
      </c>
      <c r="T57" s="870"/>
      <c r="U57" s="882"/>
      <c r="V57" s="870"/>
      <c r="W57" s="870"/>
      <c r="X57" s="870"/>
      <c r="Y57" s="870"/>
      <c r="Z57" s="870"/>
      <c r="AA57" s="870"/>
      <c r="AB57" s="870"/>
      <c r="AC57" s="870"/>
      <c r="AD57" s="870"/>
      <c r="AE57" s="870"/>
      <c r="AF57" s="870"/>
      <c r="AG57" s="870"/>
    </row>
    <row r="58" spans="1:33" ht="18.75" customHeight="1" x14ac:dyDescent="0.3">
      <c r="A58" s="957"/>
      <c r="B58" s="42"/>
      <c r="C58" s="955"/>
      <c r="D58" s="41"/>
      <c r="E58" s="684"/>
      <c r="F58" s="684"/>
      <c r="G58" s="37"/>
      <c r="H58" s="684"/>
      <c r="I58" s="684"/>
      <c r="J58" s="37"/>
      <c r="K58" s="1055"/>
      <c r="L58" s="684"/>
      <c r="M58" s="684"/>
      <c r="N58" s="1095">
        <f t="shared" si="17"/>
        <v>0</v>
      </c>
      <c r="O58" s="937"/>
      <c r="P58" s="42"/>
      <c r="Q58" s="494"/>
      <c r="R58" s="764"/>
      <c r="S58" s="769">
        <f t="shared" si="18"/>
        <v>0</v>
      </c>
      <c r="T58" s="870"/>
      <c r="U58" s="882"/>
      <c r="V58" s="883"/>
      <c r="W58" s="883"/>
      <c r="X58" s="883"/>
      <c r="Y58" s="883"/>
      <c r="Z58" s="883"/>
      <c r="AA58" s="883"/>
      <c r="AB58" s="883"/>
      <c r="AC58" s="883"/>
      <c r="AD58" s="883"/>
      <c r="AE58" s="883"/>
      <c r="AF58" s="883"/>
      <c r="AG58" s="883"/>
    </row>
    <row r="59" spans="1:33" ht="18.75" customHeight="1" x14ac:dyDescent="0.3">
      <c r="A59" s="742"/>
      <c r="B59" s="482"/>
      <c r="C59" s="482"/>
      <c r="D59" s="149" t="s">
        <v>225</v>
      </c>
      <c r="E59" s="150">
        <f t="shared" ref="E59:M59" si="19">SUM(E48:E58)</f>
        <v>416587.83</v>
      </c>
      <c r="F59" s="150">
        <f t="shared" si="19"/>
        <v>0</v>
      </c>
      <c r="G59" s="150">
        <f t="shared" si="19"/>
        <v>0</v>
      </c>
      <c r="H59" s="150">
        <f t="shared" si="19"/>
        <v>11351</v>
      </c>
      <c r="I59" s="150">
        <f t="shared" si="19"/>
        <v>0</v>
      </c>
      <c r="J59" s="150">
        <f t="shared" si="19"/>
        <v>6609.66</v>
      </c>
      <c r="K59" s="150">
        <f t="shared" si="19"/>
        <v>64200</v>
      </c>
      <c r="L59" s="150">
        <f t="shared" si="19"/>
        <v>1449950</v>
      </c>
      <c r="M59" s="150">
        <f t="shared" si="19"/>
        <v>1145328</v>
      </c>
      <c r="N59" s="483">
        <f t="shared" si="0"/>
        <v>3094026.49</v>
      </c>
      <c r="O59" s="937"/>
      <c r="P59" s="42"/>
      <c r="Q59" s="494"/>
      <c r="R59" s="764"/>
      <c r="S59" s="769">
        <f t="shared" si="18"/>
        <v>3094026.49</v>
      </c>
      <c r="T59" s="55"/>
      <c r="U59" s="395"/>
      <c r="V59" s="37"/>
      <c r="W59" s="37"/>
      <c r="X59" s="37"/>
      <c r="Y59" s="476"/>
      <c r="Z59" s="476"/>
      <c r="AA59" s="476"/>
      <c r="AB59" s="476"/>
      <c r="AC59" s="476"/>
      <c r="AD59" s="476"/>
      <c r="AE59" s="476"/>
      <c r="AF59" s="476"/>
      <c r="AG59" s="476"/>
    </row>
    <row r="60" spans="1:33" ht="18.75" customHeight="1" x14ac:dyDescent="0.3">
      <c r="A60" s="742"/>
      <c r="B60" s="482"/>
      <c r="C60" s="482"/>
      <c r="D60" s="149" t="s">
        <v>226</v>
      </c>
      <c r="E60" s="150">
        <f t="shared" ref="E60:M60" si="20">SUM(E46+E59)</f>
        <v>1908667.52</v>
      </c>
      <c r="F60" s="150">
        <f t="shared" si="20"/>
        <v>10748.869999999999</v>
      </c>
      <c r="G60" s="150">
        <f t="shared" si="20"/>
        <v>26880.09</v>
      </c>
      <c r="H60" s="150">
        <f t="shared" si="20"/>
        <v>94447</v>
      </c>
      <c r="I60" s="150">
        <f t="shared" si="20"/>
        <v>0</v>
      </c>
      <c r="J60" s="150">
        <f t="shared" si="20"/>
        <v>26438.639999999999</v>
      </c>
      <c r="K60" s="150">
        <f t="shared" si="20"/>
        <v>64200</v>
      </c>
      <c r="L60" s="150">
        <f t="shared" si="20"/>
        <v>1449950</v>
      </c>
      <c r="M60" s="150">
        <f t="shared" si="20"/>
        <v>1145328</v>
      </c>
      <c r="N60" s="483">
        <f t="shared" si="0"/>
        <v>4726660.12</v>
      </c>
      <c r="O60" s="937"/>
      <c r="P60" s="42"/>
      <c r="Q60" s="494"/>
      <c r="R60" s="764"/>
      <c r="S60" s="769">
        <f t="shared" si="18"/>
        <v>4726660.12</v>
      </c>
      <c r="T60" s="55"/>
      <c r="U60" s="395"/>
      <c r="V60" s="37"/>
      <c r="W60" s="37"/>
      <c r="X60" s="37"/>
      <c r="Y60" s="476"/>
      <c r="Z60" s="476"/>
      <c r="AA60" s="476"/>
      <c r="AB60" s="476"/>
      <c r="AC60" s="476"/>
      <c r="AD60" s="476"/>
      <c r="AE60" s="476"/>
      <c r="AF60" s="476"/>
      <c r="AG60" s="476"/>
    </row>
    <row r="61" spans="1:33" ht="18.75" customHeight="1" x14ac:dyDescent="0.3">
      <c r="A61" s="743"/>
      <c r="B61" s="484"/>
      <c r="C61" s="484"/>
      <c r="D61" s="152" t="s">
        <v>227</v>
      </c>
      <c r="E61" s="153">
        <f t="shared" ref="E61:M61" si="21">SUM(E47-E59)</f>
        <v>1111132.48</v>
      </c>
      <c r="F61" s="153">
        <f t="shared" si="21"/>
        <v>109051.13</v>
      </c>
      <c r="G61" s="153">
        <f t="shared" si="21"/>
        <v>13119.91</v>
      </c>
      <c r="H61" s="153">
        <f t="shared" si="21"/>
        <v>130553</v>
      </c>
      <c r="I61" s="153">
        <f t="shared" si="21"/>
        <v>1200000</v>
      </c>
      <c r="J61" s="153">
        <f t="shared" si="21"/>
        <v>73561.359999999986</v>
      </c>
      <c r="K61" s="153">
        <f t="shared" si="21"/>
        <v>100000</v>
      </c>
      <c r="L61" s="153">
        <f t="shared" si="21"/>
        <v>45850</v>
      </c>
      <c r="M61" s="153">
        <f t="shared" si="21"/>
        <v>-45328</v>
      </c>
      <c r="N61" s="485">
        <f t="shared" si="0"/>
        <v>2737939.8799999994</v>
      </c>
      <c r="O61" s="937"/>
      <c r="P61" s="42"/>
      <c r="Q61" s="494"/>
      <c r="R61" s="764"/>
      <c r="S61" s="769">
        <f t="shared" si="18"/>
        <v>2737939.8799999994</v>
      </c>
      <c r="T61" s="55"/>
      <c r="U61" s="395"/>
      <c r="V61" s="37"/>
      <c r="W61" s="37"/>
      <c r="X61" s="37"/>
      <c r="Y61" s="476"/>
      <c r="Z61" s="476"/>
      <c r="AA61" s="476"/>
      <c r="AB61" s="476"/>
      <c r="AC61" s="476"/>
      <c r="AD61" s="476"/>
      <c r="AE61" s="476"/>
      <c r="AF61" s="476"/>
      <c r="AG61" s="476"/>
    </row>
    <row r="62" spans="1:33" ht="18.75" customHeight="1" x14ac:dyDescent="0.3">
      <c r="A62" s="1035" t="s">
        <v>228</v>
      </c>
      <c r="B62" s="42"/>
      <c r="C62" s="1051"/>
      <c r="D62" s="41"/>
      <c r="E62" s="684"/>
      <c r="F62" s="684"/>
      <c r="G62" s="37"/>
      <c r="H62" s="684"/>
      <c r="I62" s="684"/>
      <c r="J62" s="37"/>
      <c r="K62" s="1055"/>
      <c r="L62" s="684"/>
      <c r="M62" s="684"/>
      <c r="N62" s="1095">
        <f t="shared" si="0"/>
        <v>0</v>
      </c>
      <c r="O62" s="937"/>
      <c r="P62" s="42"/>
      <c r="Q62" s="494"/>
      <c r="R62" s="764"/>
      <c r="S62" s="769">
        <f t="shared" si="18"/>
        <v>0</v>
      </c>
      <c r="T62" s="37"/>
      <c r="U62" s="395"/>
      <c r="V62" s="37"/>
      <c r="W62" s="37"/>
      <c r="X62" s="37"/>
      <c r="Y62" s="476"/>
      <c r="Z62" s="476"/>
      <c r="AA62" s="476"/>
      <c r="AB62" s="476"/>
      <c r="AC62" s="476"/>
      <c r="AD62" s="476"/>
      <c r="AE62" s="476"/>
      <c r="AF62" s="476"/>
      <c r="AG62" s="476"/>
    </row>
    <row r="63" spans="1:33" ht="18.75" x14ac:dyDescent="0.3">
      <c r="A63" s="957"/>
      <c r="B63" s="876"/>
      <c r="C63" s="840"/>
      <c r="D63" s="34"/>
      <c r="E63" s="684"/>
      <c r="F63" s="684"/>
      <c r="G63" s="37"/>
      <c r="H63" s="684"/>
      <c r="I63" s="684"/>
      <c r="J63" s="37"/>
      <c r="K63" s="1055"/>
      <c r="L63" s="684"/>
      <c r="M63" s="684"/>
      <c r="N63" s="1095">
        <f t="shared" ref="N63:N72" si="22">SUM(E63:M63)</f>
        <v>0</v>
      </c>
      <c r="O63" s="937"/>
      <c r="P63" s="42"/>
      <c r="Q63" s="494"/>
      <c r="R63" s="764"/>
      <c r="S63" s="769">
        <f>N63-Q63-R63</f>
        <v>0</v>
      </c>
      <c r="T63" s="870"/>
      <c r="U63" s="886"/>
      <c r="V63" s="886"/>
      <c r="W63" s="886"/>
      <c r="X63" s="870"/>
      <c r="Y63" s="870"/>
      <c r="Z63" s="870"/>
      <c r="AA63" s="870"/>
      <c r="AB63" s="870"/>
      <c r="AC63" s="870"/>
      <c r="AD63" s="870"/>
      <c r="AE63" s="870"/>
      <c r="AF63" s="870"/>
      <c r="AG63" s="870"/>
    </row>
    <row r="64" spans="1:33" ht="18.75" x14ac:dyDescent="0.3">
      <c r="A64" s="957"/>
      <c r="B64" s="876"/>
      <c r="C64" s="840"/>
      <c r="D64" s="34"/>
      <c r="E64" s="684"/>
      <c r="F64" s="684"/>
      <c r="G64" s="37"/>
      <c r="H64" s="684"/>
      <c r="I64" s="684"/>
      <c r="J64" s="37"/>
      <c r="K64" s="1055"/>
      <c r="L64" s="684"/>
      <c r="M64" s="684"/>
      <c r="N64" s="1095">
        <f t="shared" si="22"/>
        <v>0</v>
      </c>
      <c r="O64" s="937"/>
      <c r="P64" s="42"/>
      <c r="Q64" s="494"/>
      <c r="R64" s="764"/>
      <c r="S64" s="769">
        <f t="shared" ref="S64:S76" si="23">N64-Q64-R64</f>
        <v>0</v>
      </c>
      <c r="T64" s="870"/>
      <c r="U64" s="910"/>
      <c r="V64" s="886"/>
      <c r="W64" s="886"/>
      <c r="X64" s="870"/>
      <c r="Y64" s="870"/>
      <c r="Z64" s="870"/>
      <c r="AA64" s="870"/>
      <c r="AB64" s="870"/>
      <c r="AC64" s="870"/>
      <c r="AD64" s="870"/>
      <c r="AE64" s="870"/>
      <c r="AF64" s="870"/>
      <c r="AG64" s="870"/>
    </row>
    <row r="65" spans="1:33" ht="18.75" customHeight="1" x14ac:dyDescent="0.3">
      <c r="A65" s="957"/>
      <c r="B65" s="42"/>
      <c r="C65" s="840"/>
      <c r="D65" s="34"/>
      <c r="E65" s="684"/>
      <c r="F65" s="684"/>
      <c r="G65" s="37"/>
      <c r="H65" s="684"/>
      <c r="I65" s="684"/>
      <c r="J65" s="37"/>
      <c r="K65" s="1055"/>
      <c r="L65" s="684"/>
      <c r="M65" s="684"/>
      <c r="N65" s="1095">
        <f t="shared" si="22"/>
        <v>0</v>
      </c>
      <c r="O65" s="937"/>
      <c r="P65" s="65"/>
      <c r="Q65" s="494"/>
      <c r="R65" s="764"/>
      <c r="S65" s="769">
        <f t="shared" si="23"/>
        <v>0</v>
      </c>
      <c r="T65" s="870"/>
      <c r="U65" s="882"/>
      <c r="V65" s="870"/>
      <c r="W65" s="870"/>
      <c r="X65" s="870"/>
      <c r="Y65" s="870"/>
      <c r="Z65" s="870"/>
      <c r="AA65" s="870"/>
      <c r="AB65" s="870"/>
      <c r="AC65" s="870"/>
      <c r="AD65" s="870"/>
      <c r="AE65" s="870"/>
      <c r="AF65" s="870"/>
      <c r="AG65" s="870"/>
    </row>
    <row r="66" spans="1:33" ht="18.75" customHeight="1" x14ac:dyDescent="0.3">
      <c r="A66" s="957"/>
      <c r="B66" s="42"/>
      <c r="C66" s="955"/>
      <c r="D66" s="34"/>
      <c r="E66" s="684"/>
      <c r="F66" s="684"/>
      <c r="G66" s="37"/>
      <c r="H66" s="684"/>
      <c r="I66" s="684"/>
      <c r="J66" s="37"/>
      <c r="K66" s="1055"/>
      <c r="L66" s="684"/>
      <c r="M66" s="684"/>
      <c r="N66" s="1095">
        <f t="shared" si="22"/>
        <v>0</v>
      </c>
      <c r="O66" s="940"/>
      <c r="P66" s="874"/>
      <c r="Q66" s="875"/>
      <c r="R66" s="764"/>
      <c r="S66" s="769">
        <f t="shared" si="23"/>
        <v>0</v>
      </c>
      <c r="T66" s="870"/>
      <c r="U66" s="882"/>
      <c r="V66" s="870"/>
      <c r="W66" s="870"/>
      <c r="X66" s="870"/>
      <c r="Y66" s="870"/>
      <c r="Z66" s="870"/>
      <c r="AA66" s="870"/>
      <c r="AB66" s="870"/>
      <c r="AC66" s="870"/>
      <c r="AD66" s="870"/>
      <c r="AE66" s="870"/>
      <c r="AF66" s="870"/>
      <c r="AG66" s="870"/>
    </row>
    <row r="67" spans="1:33" ht="18.75" customHeight="1" x14ac:dyDescent="0.3">
      <c r="A67" s="957"/>
      <c r="B67" s="42"/>
      <c r="C67" s="955"/>
      <c r="D67" s="41"/>
      <c r="E67" s="684"/>
      <c r="F67" s="684"/>
      <c r="G67" s="37"/>
      <c r="H67" s="684"/>
      <c r="I67" s="684"/>
      <c r="J67" s="37"/>
      <c r="K67" s="1055"/>
      <c r="L67" s="684"/>
      <c r="M67" s="684"/>
      <c r="N67" s="1095">
        <f t="shared" si="22"/>
        <v>0</v>
      </c>
      <c r="O67" s="940"/>
      <c r="P67" s="874"/>
      <c r="Q67" s="494"/>
      <c r="R67" s="764"/>
      <c r="S67" s="769">
        <f t="shared" si="23"/>
        <v>0</v>
      </c>
      <c r="T67" s="870"/>
      <c r="U67" s="882"/>
      <c r="V67" s="870"/>
      <c r="W67" s="870"/>
      <c r="X67" s="870"/>
      <c r="Y67" s="870"/>
      <c r="Z67" s="870"/>
      <c r="AA67" s="870"/>
      <c r="AB67" s="870"/>
      <c r="AC67" s="870"/>
      <c r="AD67" s="870"/>
      <c r="AE67" s="870"/>
      <c r="AF67" s="870"/>
      <c r="AG67" s="870"/>
    </row>
    <row r="68" spans="1:33" ht="18.75" customHeight="1" x14ac:dyDescent="0.3">
      <c r="A68" s="957"/>
      <c r="B68" s="42"/>
      <c r="C68" s="955"/>
      <c r="D68" s="41"/>
      <c r="E68" s="684"/>
      <c r="F68" s="684"/>
      <c r="G68" s="37"/>
      <c r="H68" s="684"/>
      <c r="I68" s="684"/>
      <c r="J68" s="37"/>
      <c r="K68" s="1055"/>
      <c r="L68" s="684"/>
      <c r="M68" s="684"/>
      <c r="N68" s="1095">
        <f t="shared" si="22"/>
        <v>0</v>
      </c>
      <c r="O68" s="940"/>
      <c r="P68" s="874"/>
      <c r="Q68" s="494"/>
      <c r="R68" s="764"/>
      <c r="S68" s="769">
        <f t="shared" si="23"/>
        <v>0</v>
      </c>
      <c r="T68" s="870"/>
      <c r="U68" s="882"/>
      <c r="V68" s="870"/>
      <c r="W68" s="870"/>
      <c r="X68" s="870"/>
      <c r="Y68" s="870"/>
      <c r="Z68" s="870"/>
      <c r="AA68" s="870"/>
      <c r="AB68" s="870"/>
      <c r="AC68" s="870"/>
      <c r="AD68" s="870"/>
      <c r="AE68" s="870"/>
      <c r="AF68" s="870"/>
      <c r="AG68" s="870"/>
    </row>
    <row r="69" spans="1:33" ht="18.75" customHeight="1" x14ac:dyDescent="0.3">
      <c r="A69" s="957"/>
      <c r="B69" s="42"/>
      <c r="C69" s="955"/>
      <c r="D69" s="41"/>
      <c r="E69" s="684"/>
      <c r="F69" s="684"/>
      <c r="G69" s="37"/>
      <c r="H69" s="684"/>
      <c r="I69" s="684"/>
      <c r="J69" s="37"/>
      <c r="K69" s="1055"/>
      <c r="L69" s="684"/>
      <c r="M69" s="684"/>
      <c r="N69" s="1095">
        <f t="shared" si="22"/>
        <v>0</v>
      </c>
      <c r="O69" s="937"/>
      <c r="P69" s="876"/>
      <c r="Q69" s="494"/>
      <c r="R69" s="764"/>
      <c r="S69" s="769">
        <f t="shared" si="23"/>
        <v>0</v>
      </c>
      <c r="T69" s="870"/>
      <c r="U69" s="882"/>
      <c r="V69" s="870"/>
      <c r="W69" s="870"/>
      <c r="X69" s="870"/>
      <c r="Y69" s="870"/>
      <c r="Z69" s="870"/>
      <c r="AA69" s="870"/>
      <c r="AB69" s="870"/>
      <c r="AC69" s="870"/>
      <c r="AD69" s="870"/>
      <c r="AE69" s="870"/>
      <c r="AF69" s="870"/>
      <c r="AG69" s="870"/>
    </row>
    <row r="70" spans="1:33" ht="18.75" customHeight="1" x14ac:dyDescent="0.3">
      <c r="A70" s="957"/>
      <c r="B70" s="42"/>
      <c r="C70" s="955"/>
      <c r="D70" s="41"/>
      <c r="E70" s="684"/>
      <c r="F70" s="684"/>
      <c r="G70" s="37"/>
      <c r="H70" s="684"/>
      <c r="I70" s="684"/>
      <c r="J70" s="37"/>
      <c r="K70" s="1055"/>
      <c r="L70" s="684"/>
      <c r="M70" s="684"/>
      <c r="N70" s="1095">
        <f t="shared" si="22"/>
        <v>0</v>
      </c>
      <c r="O70" s="940"/>
      <c r="P70" s="874"/>
      <c r="Q70" s="494"/>
      <c r="R70" s="764"/>
      <c r="S70" s="769">
        <f t="shared" si="23"/>
        <v>0</v>
      </c>
      <c r="T70" s="870"/>
      <c r="U70" s="882"/>
      <c r="V70" s="870"/>
      <c r="W70" s="870"/>
      <c r="X70" s="870"/>
      <c r="Y70" s="870"/>
      <c r="Z70" s="870"/>
      <c r="AA70" s="870"/>
      <c r="AB70" s="870"/>
      <c r="AC70" s="870"/>
      <c r="AD70" s="870"/>
      <c r="AE70" s="870"/>
      <c r="AF70" s="870"/>
      <c r="AG70" s="870"/>
    </row>
    <row r="71" spans="1:33" ht="18.75" customHeight="1" x14ac:dyDescent="0.3">
      <c r="A71" s="957"/>
      <c r="B71" s="42"/>
      <c r="C71" s="955"/>
      <c r="D71" s="41"/>
      <c r="E71" s="684"/>
      <c r="F71" s="684"/>
      <c r="G71" s="37"/>
      <c r="H71" s="684"/>
      <c r="I71" s="684"/>
      <c r="J71" s="37"/>
      <c r="K71" s="1055"/>
      <c r="L71" s="684"/>
      <c r="M71" s="684"/>
      <c r="N71" s="1095">
        <f t="shared" si="22"/>
        <v>0</v>
      </c>
      <c r="O71" s="940"/>
      <c r="P71" s="874"/>
      <c r="Q71" s="494"/>
      <c r="R71" s="764"/>
      <c r="S71" s="769">
        <f t="shared" si="23"/>
        <v>0</v>
      </c>
      <c r="T71" s="870"/>
      <c r="U71" s="882"/>
      <c r="V71" s="870"/>
      <c r="W71" s="870"/>
      <c r="X71" s="870"/>
      <c r="Y71" s="870"/>
      <c r="Z71" s="870"/>
      <c r="AA71" s="870"/>
      <c r="AB71" s="870"/>
      <c r="AC71" s="870"/>
      <c r="AD71" s="870"/>
      <c r="AE71" s="870"/>
      <c r="AF71" s="870"/>
      <c r="AG71" s="870"/>
    </row>
    <row r="72" spans="1:33" ht="18.75" customHeight="1" x14ac:dyDescent="0.3">
      <c r="A72" s="957"/>
      <c r="B72" s="42"/>
      <c r="C72" s="955"/>
      <c r="D72" s="41"/>
      <c r="E72" s="684"/>
      <c r="F72" s="684"/>
      <c r="G72" s="37"/>
      <c r="H72" s="684"/>
      <c r="I72" s="684"/>
      <c r="J72" s="37"/>
      <c r="K72" s="1055"/>
      <c r="L72" s="684"/>
      <c r="M72" s="684"/>
      <c r="N72" s="1095">
        <f t="shared" si="22"/>
        <v>0</v>
      </c>
      <c r="O72" s="937"/>
      <c r="P72" s="42"/>
      <c r="Q72" s="494"/>
      <c r="R72" s="764"/>
      <c r="S72" s="769">
        <f t="shared" si="23"/>
        <v>0</v>
      </c>
      <c r="T72" s="870"/>
      <c r="U72" s="882"/>
      <c r="V72" s="883"/>
      <c r="W72" s="883"/>
      <c r="X72" s="883"/>
      <c r="Y72" s="883"/>
      <c r="Z72" s="883"/>
      <c r="AA72" s="883"/>
      <c r="AB72" s="883"/>
      <c r="AC72" s="883"/>
      <c r="AD72" s="883"/>
      <c r="AE72" s="883"/>
      <c r="AF72" s="883"/>
      <c r="AG72" s="883"/>
    </row>
    <row r="73" spans="1:33" ht="18.75" customHeight="1" x14ac:dyDescent="0.3">
      <c r="A73" s="742"/>
      <c r="B73" s="482"/>
      <c r="C73" s="482"/>
      <c r="D73" s="149" t="s">
        <v>229</v>
      </c>
      <c r="E73" s="150">
        <f t="shared" ref="E73:M73" si="24">SUM(E62:E72)</f>
        <v>0</v>
      </c>
      <c r="F73" s="150">
        <f t="shared" si="24"/>
        <v>0</v>
      </c>
      <c r="G73" s="150">
        <f t="shared" si="24"/>
        <v>0</v>
      </c>
      <c r="H73" s="150">
        <f t="shared" si="24"/>
        <v>0</v>
      </c>
      <c r="I73" s="150">
        <f t="shared" si="24"/>
        <v>0</v>
      </c>
      <c r="J73" s="150">
        <f t="shared" si="24"/>
        <v>0</v>
      </c>
      <c r="K73" s="150">
        <f t="shared" si="24"/>
        <v>0</v>
      </c>
      <c r="L73" s="150">
        <f t="shared" si="24"/>
        <v>0</v>
      </c>
      <c r="M73" s="150">
        <f t="shared" si="24"/>
        <v>0</v>
      </c>
      <c r="N73" s="483">
        <f t="shared" ref="N73:N86" si="25">SUM(E73:M73)</f>
        <v>0</v>
      </c>
      <c r="O73" s="940"/>
      <c r="P73" s="874"/>
      <c r="Q73" s="494"/>
      <c r="R73" s="764"/>
      <c r="S73" s="769">
        <f t="shared" si="23"/>
        <v>0</v>
      </c>
      <c r="T73" s="55"/>
      <c r="U73" s="395"/>
      <c r="V73" s="37"/>
      <c r="W73" s="37"/>
      <c r="X73" s="37"/>
      <c r="Y73" s="476"/>
      <c r="Z73" s="476"/>
      <c r="AA73" s="476"/>
      <c r="AB73" s="476"/>
      <c r="AC73" s="476"/>
      <c r="AD73" s="476"/>
      <c r="AE73" s="476"/>
      <c r="AF73" s="476"/>
      <c r="AG73" s="476"/>
    </row>
    <row r="74" spans="1:33" ht="18.75" customHeight="1" x14ac:dyDescent="0.3">
      <c r="A74" s="742"/>
      <c r="B74" s="482"/>
      <c r="C74" s="482"/>
      <c r="D74" s="149" t="s">
        <v>230</v>
      </c>
      <c r="E74" s="150">
        <f t="shared" ref="E74:M74" si="26">SUM(E60+E73)</f>
        <v>1908667.52</v>
      </c>
      <c r="F74" s="150">
        <f t="shared" si="26"/>
        <v>10748.869999999999</v>
      </c>
      <c r="G74" s="150">
        <f t="shared" si="26"/>
        <v>26880.09</v>
      </c>
      <c r="H74" s="150">
        <f t="shared" si="26"/>
        <v>94447</v>
      </c>
      <c r="I74" s="150">
        <f t="shared" si="26"/>
        <v>0</v>
      </c>
      <c r="J74" s="150">
        <f t="shared" si="26"/>
        <v>26438.639999999999</v>
      </c>
      <c r="K74" s="150">
        <f t="shared" si="26"/>
        <v>64200</v>
      </c>
      <c r="L74" s="150">
        <f t="shared" si="26"/>
        <v>1449950</v>
      </c>
      <c r="M74" s="150">
        <f t="shared" si="26"/>
        <v>1145328</v>
      </c>
      <c r="N74" s="483">
        <f t="shared" si="25"/>
        <v>4726660.12</v>
      </c>
      <c r="O74" s="937"/>
      <c r="P74" s="42"/>
      <c r="Q74" s="494"/>
      <c r="R74" s="764"/>
      <c r="S74" s="769">
        <f t="shared" si="23"/>
        <v>4726660.12</v>
      </c>
      <c r="T74" s="55"/>
      <c r="U74" s="395"/>
      <c r="V74" s="37"/>
      <c r="W74" s="43"/>
      <c r="X74" s="43"/>
      <c r="Y74" s="477"/>
      <c r="Z74" s="477"/>
      <c r="AA74" s="477"/>
      <c r="AB74" s="477"/>
      <c r="AC74" s="477"/>
      <c r="AD74" s="477"/>
      <c r="AE74" s="477"/>
      <c r="AF74" s="477"/>
      <c r="AG74" s="477"/>
    </row>
    <row r="75" spans="1:33" ht="18.75" customHeight="1" x14ac:dyDescent="0.3">
      <c r="A75" s="743"/>
      <c r="B75" s="484"/>
      <c r="C75" s="484"/>
      <c r="D75" s="152" t="s">
        <v>231</v>
      </c>
      <c r="E75" s="153">
        <f t="shared" ref="E75:M75" si="27">SUM(E61-E73)</f>
        <v>1111132.48</v>
      </c>
      <c r="F75" s="153">
        <f t="shared" si="27"/>
        <v>109051.13</v>
      </c>
      <c r="G75" s="153">
        <f t="shared" si="27"/>
        <v>13119.91</v>
      </c>
      <c r="H75" s="153">
        <f t="shared" si="27"/>
        <v>130553</v>
      </c>
      <c r="I75" s="153">
        <f t="shared" si="27"/>
        <v>1200000</v>
      </c>
      <c r="J75" s="153">
        <f t="shared" si="27"/>
        <v>73561.359999999986</v>
      </c>
      <c r="K75" s="153">
        <f t="shared" si="27"/>
        <v>100000</v>
      </c>
      <c r="L75" s="153">
        <f t="shared" si="27"/>
        <v>45850</v>
      </c>
      <c r="M75" s="153">
        <f t="shared" si="27"/>
        <v>-45328</v>
      </c>
      <c r="N75" s="485">
        <f t="shared" si="25"/>
        <v>2737939.8799999994</v>
      </c>
      <c r="O75" s="937"/>
      <c r="P75" s="42"/>
      <c r="Q75" s="494"/>
      <c r="R75" s="764"/>
      <c r="S75" s="769">
        <f t="shared" si="23"/>
        <v>2737939.8799999994</v>
      </c>
      <c r="T75" s="55"/>
      <c r="U75" s="395"/>
      <c r="V75" s="37"/>
      <c r="W75" s="37"/>
      <c r="X75" s="37"/>
      <c r="Y75" s="476"/>
      <c r="Z75" s="476"/>
      <c r="AA75" s="476"/>
      <c r="AB75" s="476"/>
      <c r="AC75" s="476"/>
      <c r="AD75" s="476"/>
      <c r="AE75" s="476"/>
      <c r="AF75" s="476"/>
      <c r="AG75" s="476"/>
    </row>
    <row r="76" spans="1:33" ht="18.75" customHeight="1" x14ac:dyDescent="0.3">
      <c r="A76" s="1035" t="s">
        <v>232</v>
      </c>
      <c r="B76" s="42"/>
      <c r="C76" s="955"/>
      <c r="D76" s="41"/>
      <c r="E76" s="684"/>
      <c r="F76" s="684"/>
      <c r="G76" s="37"/>
      <c r="H76" s="684"/>
      <c r="I76" s="684"/>
      <c r="J76" s="37"/>
      <c r="K76" s="1055"/>
      <c r="L76" s="684"/>
      <c r="M76" s="684"/>
      <c r="N76" s="1095">
        <f t="shared" si="25"/>
        <v>0</v>
      </c>
      <c r="O76" s="937"/>
      <c r="P76" s="42"/>
      <c r="Q76" s="494"/>
      <c r="R76" s="764"/>
      <c r="S76" s="769">
        <f t="shared" si="23"/>
        <v>0</v>
      </c>
      <c r="T76" s="37"/>
      <c r="U76" s="395"/>
      <c r="V76" s="37"/>
      <c r="W76" s="37"/>
      <c r="X76" s="37"/>
      <c r="Y76" s="476"/>
      <c r="Z76" s="476"/>
      <c r="AA76" s="476"/>
      <c r="AB76" s="476"/>
      <c r="AC76" s="476"/>
      <c r="AD76" s="476"/>
      <c r="AE76" s="476"/>
      <c r="AF76" s="476"/>
      <c r="AG76" s="476"/>
    </row>
    <row r="77" spans="1:33" ht="18.75" x14ac:dyDescent="0.3">
      <c r="A77" s="957"/>
      <c r="B77" s="876"/>
      <c r="C77" s="840"/>
      <c r="D77" s="34"/>
      <c r="E77" s="684"/>
      <c r="F77" s="684"/>
      <c r="G77" s="37"/>
      <c r="H77" s="684"/>
      <c r="I77" s="684"/>
      <c r="J77" s="37"/>
      <c r="K77" s="1055"/>
      <c r="L77" s="684"/>
      <c r="M77" s="684"/>
      <c r="N77" s="1095">
        <f t="shared" si="25"/>
        <v>0</v>
      </c>
      <c r="O77" s="937"/>
      <c r="P77" s="42"/>
      <c r="Q77" s="494"/>
      <c r="R77" s="764"/>
      <c r="S77" s="769">
        <f>N77-Q77-R77</f>
        <v>0</v>
      </c>
      <c r="T77" s="870"/>
      <c r="U77" s="886"/>
      <c r="V77" s="886"/>
      <c r="W77" s="886"/>
      <c r="X77" s="870"/>
      <c r="Y77" s="870"/>
      <c r="Z77" s="870"/>
      <c r="AA77" s="870"/>
      <c r="AB77" s="870"/>
      <c r="AC77" s="870"/>
      <c r="AD77" s="870"/>
      <c r="AE77" s="870"/>
      <c r="AF77" s="870"/>
      <c r="AG77" s="870"/>
    </row>
    <row r="78" spans="1:33" ht="18.75" x14ac:dyDescent="0.3">
      <c r="A78" s="957"/>
      <c r="B78" s="876"/>
      <c r="C78" s="840"/>
      <c r="D78" s="34"/>
      <c r="E78" s="684"/>
      <c r="F78" s="684"/>
      <c r="G78" s="37"/>
      <c r="H78" s="684"/>
      <c r="I78" s="684"/>
      <c r="J78" s="37"/>
      <c r="K78" s="1055"/>
      <c r="L78" s="684"/>
      <c r="M78" s="684"/>
      <c r="N78" s="1095">
        <f t="shared" si="25"/>
        <v>0</v>
      </c>
      <c r="O78" s="937"/>
      <c r="P78" s="42"/>
      <c r="Q78" s="494"/>
      <c r="R78" s="764"/>
      <c r="S78" s="769">
        <f t="shared" ref="S78:S90" si="28">N78-Q78-R78</f>
        <v>0</v>
      </c>
      <c r="T78" s="870"/>
      <c r="U78" s="910"/>
      <c r="V78" s="886"/>
      <c r="W78" s="886"/>
      <c r="X78" s="870"/>
      <c r="Y78" s="870"/>
      <c r="Z78" s="870"/>
      <c r="AA78" s="870"/>
      <c r="AB78" s="870"/>
      <c r="AC78" s="870"/>
      <c r="AD78" s="870"/>
      <c r="AE78" s="870"/>
      <c r="AF78" s="870"/>
      <c r="AG78" s="870"/>
    </row>
    <row r="79" spans="1:33" ht="18.75" customHeight="1" x14ac:dyDescent="0.3">
      <c r="A79" s="957"/>
      <c r="B79" s="42"/>
      <c r="C79" s="840"/>
      <c r="D79" s="34"/>
      <c r="E79" s="684"/>
      <c r="F79" s="684"/>
      <c r="G79" s="37"/>
      <c r="H79" s="684"/>
      <c r="I79" s="684"/>
      <c r="J79" s="37"/>
      <c r="K79" s="1055"/>
      <c r="L79" s="684"/>
      <c r="M79" s="684"/>
      <c r="N79" s="1095">
        <f t="shared" si="25"/>
        <v>0</v>
      </c>
      <c r="O79" s="937"/>
      <c r="P79" s="65"/>
      <c r="Q79" s="494"/>
      <c r="R79" s="764"/>
      <c r="S79" s="769">
        <f t="shared" si="28"/>
        <v>0</v>
      </c>
      <c r="T79" s="870"/>
      <c r="U79" s="882"/>
      <c r="V79" s="870"/>
      <c r="W79" s="870"/>
      <c r="X79" s="870"/>
      <c r="Y79" s="870"/>
      <c r="Z79" s="870"/>
      <c r="AA79" s="870"/>
      <c r="AB79" s="870"/>
      <c r="AC79" s="870"/>
      <c r="AD79" s="870"/>
      <c r="AE79" s="870"/>
      <c r="AF79" s="870"/>
      <c r="AG79" s="870"/>
    </row>
    <row r="80" spans="1:33" ht="18.75" customHeight="1" x14ac:dyDescent="0.3">
      <c r="A80" s="957"/>
      <c r="B80" s="42"/>
      <c r="C80" s="955"/>
      <c r="D80" s="34"/>
      <c r="E80" s="684"/>
      <c r="F80" s="684"/>
      <c r="G80" s="37"/>
      <c r="H80" s="684"/>
      <c r="I80" s="684"/>
      <c r="J80" s="37"/>
      <c r="K80" s="1055"/>
      <c r="L80" s="684"/>
      <c r="M80" s="684"/>
      <c r="N80" s="1095">
        <f t="shared" si="25"/>
        <v>0</v>
      </c>
      <c r="O80" s="940"/>
      <c r="P80" s="874"/>
      <c r="Q80" s="875"/>
      <c r="R80" s="764"/>
      <c r="S80" s="769">
        <f t="shared" si="28"/>
        <v>0</v>
      </c>
      <c r="T80" s="870"/>
      <c r="U80" s="882"/>
      <c r="V80" s="870"/>
      <c r="W80" s="870"/>
      <c r="X80" s="870"/>
      <c r="Y80" s="870"/>
      <c r="Z80" s="870"/>
      <c r="AA80" s="870"/>
      <c r="AB80" s="870"/>
      <c r="AC80" s="870"/>
      <c r="AD80" s="870"/>
      <c r="AE80" s="870"/>
      <c r="AF80" s="870"/>
      <c r="AG80" s="870"/>
    </row>
    <row r="81" spans="1:33" ht="18.75" customHeight="1" x14ac:dyDescent="0.3">
      <c r="A81" s="957"/>
      <c r="B81" s="42"/>
      <c r="C81" s="955"/>
      <c r="D81" s="41"/>
      <c r="E81" s="684"/>
      <c r="F81" s="684"/>
      <c r="G81" s="37"/>
      <c r="H81" s="684"/>
      <c r="I81" s="684"/>
      <c r="J81" s="37"/>
      <c r="K81" s="1055"/>
      <c r="L81" s="684"/>
      <c r="M81" s="684"/>
      <c r="N81" s="1095">
        <f t="shared" si="25"/>
        <v>0</v>
      </c>
      <c r="O81" s="940"/>
      <c r="P81" s="874"/>
      <c r="Q81" s="494"/>
      <c r="R81" s="764"/>
      <c r="S81" s="769">
        <f t="shared" si="28"/>
        <v>0</v>
      </c>
      <c r="T81" s="870"/>
      <c r="U81" s="882"/>
      <c r="V81" s="870"/>
      <c r="W81" s="870"/>
      <c r="X81" s="870"/>
      <c r="Y81" s="870"/>
      <c r="Z81" s="870"/>
      <c r="AA81" s="870"/>
      <c r="AB81" s="870"/>
      <c r="AC81" s="870"/>
      <c r="AD81" s="870"/>
      <c r="AE81" s="870"/>
      <c r="AF81" s="870"/>
      <c r="AG81" s="870"/>
    </row>
    <row r="82" spans="1:33" ht="18.75" customHeight="1" x14ac:dyDescent="0.3">
      <c r="A82" s="957"/>
      <c r="B82" s="42"/>
      <c r="C82" s="955"/>
      <c r="D82" s="41"/>
      <c r="E82" s="684"/>
      <c r="F82" s="684"/>
      <c r="G82" s="37"/>
      <c r="H82" s="684"/>
      <c r="I82" s="684"/>
      <c r="J82" s="37"/>
      <c r="K82" s="1055"/>
      <c r="L82" s="684"/>
      <c r="M82" s="684"/>
      <c r="N82" s="1095">
        <f t="shared" si="25"/>
        <v>0</v>
      </c>
      <c r="O82" s="940"/>
      <c r="P82" s="874"/>
      <c r="Q82" s="494"/>
      <c r="R82" s="764"/>
      <c r="S82" s="769">
        <f t="shared" si="28"/>
        <v>0</v>
      </c>
      <c r="T82" s="870"/>
      <c r="U82" s="882"/>
      <c r="V82" s="870"/>
      <c r="W82" s="870"/>
      <c r="X82" s="870"/>
      <c r="Y82" s="870"/>
      <c r="Z82" s="870"/>
      <c r="AA82" s="870"/>
      <c r="AB82" s="870"/>
      <c r="AC82" s="870"/>
      <c r="AD82" s="870"/>
      <c r="AE82" s="870"/>
      <c r="AF82" s="870"/>
      <c r="AG82" s="870"/>
    </row>
    <row r="83" spans="1:33" ht="18.75" customHeight="1" x14ac:dyDescent="0.3">
      <c r="A83" s="957"/>
      <c r="B83" s="42"/>
      <c r="C83" s="955"/>
      <c r="D83" s="41"/>
      <c r="E83" s="684"/>
      <c r="F83" s="684"/>
      <c r="G83" s="37"/>
      <c r="H83" s="684"/>
      <c r="I83" s="684"/>
      <c r="J83" s="37"/>
      <c r="K83" s="1055"/>
      <c r="L83" s="684"/>
      <c r="M83" s="684"/>
      <c r="N83" s="1095">
        <f t="shared" si="25"/>
        <v>0</v>
      </c>
      <c r="O83" s="937"/>
      <c r="P83" s="876"/>
      <c r="Q83" s="494"/>
      <c r="R83" s="764"/>
      <c r="S83" s="769">
        <f t="shared" si="28"/>
        <v>0</v>
      </c>
      <c r="T83" s="870"/>
      <c r="U83" s="882"/>
      <c r="V83" s="870"/>
      <c r="W83" s="870"/>
      <c r="X83" s="870"/>
      <c r="Y83" s="870"/>
      <c r="Z83" s="870"/>
      <c r="AA83" s="870"/>
      <c r="AB83" s="870"/>
      <c r="AC83" s="870"/>
      <c r="AD83" s="870"/>
      <c r="AE83" s="870"/>
      <c r="AF83" s="870"/>
      <c r="AG83" s="870"/>
    </row>
    <row r="84" spans="1:33" ht="18.75" customHeight="1" x14ac:dyDescent="0.3">
      <c r="A84" s="957"/>
      <c r="B84" s="42"/>
      <c r="C84" s="955"/>
      <c r="D84" s="41"/>
      <c r="E84" s="684"/>
      <c r="F84" s="684"/>
      <c r="G84" s="37"/>
      <c r="H84" s="684"/>
      <c r="I84" s="684"/>
      <c r="J84" s="37"/>
      <c r="K84" s="1055"/>
      <c r="L84" s="684"/>
      <c r="M84" s="684"/>
      <c r="N84" s="1095">
        <f t="shared" si="25"/>
        <v>0</v>
      </c>
      <c r="O84" s="940"/>
      <c r="P84" s="874"/>
      <c r="Q84" s="494"/>
      <c r="R84" s="764"/>
      <c r="S84" s="769">
        <f t="shared" si="28"/>
        <v>0</v>
      </c>
      <c r="T84" s="870"/>
      <c r="U84" s="882"/>
      <c r="V84" s="870"/>
      <c r="W84" s="870"/>
      <c r="X84" s="870"/>
      <c r="Y84" s="870"/>
      <c r="Z84" s="870"/>
      <c r="AA84" s="870"/>
      <c r="AB84" s="870"/>
      <c r="AC84" s="870"/>
      <c r="AD84" s="870"/>
      <c r="AE84" s="870"/>
      <c r="AF84" s="870"/>
      <c r="AG84" s="870"/>
    </row>
    <row r="85" spans="1:33" ht="18.75" customHeight="1" x14ac:dyDescent="0.3">
      <c r="A85" s="957"/>
      <c r="B85" s="42"/>
      <c r="C85" s="955"/>
      <c r="D85" s="41"/>
      <c r="E85" s="684"/>
      <c r="F85" s="684"/>
      <c r="G85" s="37"/>
      <c r="H85" s="684"/>
      <c r="I85" s="684"/>
      <c r="J85" s="37"/>
      <c r="K85" s="1055"/>
      <c r="L85" s="684"/>
      <c r="M85" s="684"/>
      <c r="N85" s="1095">
        <f t="shared" si="25"/>
        <v>0</v>
      </c>
      <c r="O85" s="940"/>
      <c r="P85" s="874"/>
      <c r="Q85" s="494"/>
      <c r="R85" s="764"/>
      <c r="S85" s="769">
        <f t="shared" si="28"/>
        <v>0</v>
      </c>
      <c r="T85" s="870"/>
      <c r="U85" s="882"/>
      <c r="V85" s="870"/>
      <c r="W85" s="870"/>
      <c r="X85" s="870"/>
      <c r="Y85" s="870"/>
      <c r="Z85" s="870"/>
      <c r="AA85" s="870"/>
      <c r="AB85" s="870"/>
      <c r="AC85" s="870"/>
      <c r="AD85" s="870"/>
      <c r="AE85" s="870"/>
      <c r="AF85" s="870"/>
      <c r="AG85" s="870"/>
    </row>
    <row r="86" spans="1:33" ht="18.75" customHeight="1" x14ac:dyDescent="0.3">
      <c r="A86" s="957"/>
      <c r="B86" s="42"/>
      <c r="C86" s="955"/>
      <c r="D86" s="41"/>
      <c r="E86" s="684"/>
      <c r="F86" s="684"/>
      <c r="G86" s="37"/>
      <c r="H86" s="684"/>
      <c r="I86" s="684"/>
      <c r="J86" s="37"/>
      <c r="K86" s="1055"/>
      <c r="L86" s="684"/>
      <c r="M86" s="684"/>
      <c r="N86" s="1095">
        <f t="shared" si="25"/>
        <v>0</v>
      </c>
      <c r="O86" s="937"/>
      <c r="P86" s="42"/>
      <c r="Q86" s="494"/>
      <c r="R86" s="764"/>
      <c r="S86" s="769">
        <f t="shared" si="28"/>
        <v>0</v>
      </c>
      <c r="T86" s="870"/>
      <c r="U86" s="882"/>
      <c r="V86" s="883"/>
      <c r="W86" s="883"/>
      <c r="X86" s="883"/>
      <c r="Y86" s="883"/>
      <c r="Z86" s="883"/>
      <c r="AA86" s="883"/>
      <c r="AB86" s="883"/>
      <c r="AC86" s="883"/>
      <c r="AD86" s="883"/>
      <c r="AE86" s="883"/>
      <c r="AF86" s="883"/>
      <c r="AG86" s="883"/>
    </row>
    <row r="87" spans="1:33" ht="18.75" customHeight="1" x14ac:dyDescent="0.3">
      <c r="A87" s="742"/>
      <c r="B87" s="482"/>
      <c r="C87" s="482"/>
      <c r="D87" s="149" t="s">
        <v>233</v>
      </c>
      <c r="E87" s="150">
        <f t="shared" ref="E87:M87" si="29">SUM(E76:E86)</f>
        <v>0</v>
      </c>
      <c r="F87" s="150">
        <f t="shared" si="29"/>
        <v>0</v>
      </c>
      <c r="G87" s="150">
        <f t="shared" si="29"/>
        <v>0</v>
      </c>
      <c r="H87" s="150">
        <f t="shared" si="29"/>
        <v>0</v>
      </c>
      <c r="I87" s="150">
        <f t="shared" si="29"/>
        <v>0</v>
      </c>
      <c r="J87" s="150">
        <f t="shared" si="29"/>
        <v>0</v>
      </c>
      <c r="K87" s="150">
        <f t="shared" si="29"/>
        <v>0</v>
      </c>
      <c r="L87" s="150">
        <f t="shared" si="29"/>
        <v>0</v>
      </c>
      <c r="M87" s="150">
        <f t="shared" si="29"/>
        <v>0</v>
      </c>
      <c r="N87" s="483">
        <f>SUM(E87:M87)</f>
        <v>0</v>
      </c>
      <c r="O87" s="937"/>
      <c r="P87" s="42"/>
      <c r="Q87" s="494"/>
      <c r="R87" s="764"/>
      <c r="S87" s="769">
        <f t="shared" si="28"/>
        <v>0</v>
      </c>
      <c r="T87" s="55"/>
      <c r="U87" s="397"/>
      <c r="V87" s="37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</row>
    <row r="88" spans="1:33" ht="18.75" customHeight="1" x14ac:dyDescent="0.3">
      <c r="A88" s="742"/>
      <c r="B88" s="482"/>
      <c r="C88" s="482"/>
      <c r="D88" s="149" t="s">
        <v>234</v>
      </c>
      <c r="E88" s="150">
        <f t="shared" ref="E88:M88" si="30">SUM(E74+E87)</f>
        <v>1908667.52</v>
      </c>
      <c r="F88" s="150">
        <f t="shared" si="30"/>
        <v>10748.869999999999</v>
      </c>
      <c r="G88" s="150">
        <f t="shared" si="30"/>
        <v>26880.09</v>
      </c>
      <c r="H88" s="150">
        <f t="shared" si="30"/>
        <v>94447</v>
      </c>
      <c r="I88" s="150">
        <f t="shared" si="30"/>
        <v>0</v>
      </c>
      <c r="J88" s="150">
        <f t="shared" si="30"/>
        <v>26438.639999999999</v>
      </c>
      <c r="K88" s="150">
        <f t="shared" si="30"/>
        <v>64200</v>
      </c>
      <c r="L88" s="150">
        <f t="shared" si="30"/>
        <v>1449950</v>
      </c>
      <c r="M88" s="150">
        <f t="shared" si="30"/>
        <v>1145328</v>
      </c>
      <c r="N88" s="483">
        <f>SUM(E88:M88)</f>
        <v>4726660.12</v>
      </c>
      <c r="O88" s="937"/>
      <c r="P88" s="42"/>
      <c r="Q88" s="494"/>
      <c r="R88" s="764"/>
      <c r="S88" s="769">
        <f t="shared" si="28"/>
        <v>4726660.12</v>
      </c>
      <c r="T88" s="55"/>
      <c r="U88" s="397"/>
      <c r="V88" s="37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</row>
    <row r="89" spans="1:33" ht="18.75" customHeight="1" x14ac:dyDescent="0.3">
      <c r="A89" s="743"/>
      <c r="B89" s="484"/>
      <c r="C89" s="484"/>
      <c r="D89" s="152" t="s">
        <v>235</v>
      </c>
      <c r="E89" s="153">
        <f t="shared" ref="E89:M89" si="31">SUM(E75-E87)</f>
        <v>1111132.48</v>
      </c>
      <c r="F89" s="153">
        <f t="shared" si="31"/>
        <v>109051.13</v>
      </c>
      <c r="G89" s="153">
        <f t="shared" si="31"/>
        <v>13119.91</v>
      </c>
      <c r="H89" s="153">
        <f t="shared" si="31"/>
        <v>130553</v>
      </c>
      <c r="I89" s="153">
        <f t="shared" si="31"/>
        <v>1200000</v>
      </c>
      <c r="J89" s="153">
        <f t="shared" si="31"/>
        <v>73561.359999999986</v>
      </c>
      <c r="K89" s="153">
        <f t="shared" si="31"/>
        <v>100000</v>
      </c>
      <c r="L89" s="153">
        <f t="shared" si="31"/>
        <v>45850</v>
      </c>
      <c r="M89" s="153">
        <f t="shared" si="31"/>
        <v>-45328</v>
      </c>
      <c r="N89" s="485">
        <f>SUM(E89:M89)</f>
        <v>2737939.8799999994</v>
      </c>
      <c r="O89" s="937"/>
      <c r="P89" s="42"/>
      <c r="Q89" s="494"/>
      <c r="R89" s="764"/>
      <c r="S89" s="769">
        <f t="shared" si="28"/>
        <v>2737939.8799999994</v>
      </c>
      <c r="T89" s="55"/>
      <c r="U89" s="395"/>
      <c r="V89" s="37"/>
      <c r="W89" s="37"/>
      <c r="X89" s="37"/>
      <c r="Y89" s="476"/>
      <c r="Z89" s="476"/>
      <c r="AA89" s="476"/>
      <c r="AB89" s="476"/>
      <c r="AC89" s="476"/>
      <c r="AD89" s="476"/>
      <c r="AE89" s="476"/>
      <c r="AF89" s="476"/>
      <c r="AG89" s="476"/>
    </row>
    <row r="90" spans="1:33" ht="19.5" customHeight="1" x14ac:dyDescent="0.3">
      <c r="A90" s="1035" t="s">
        <v>236</v>
      </c>
      <c r="B90" s="42"/>
      <c r="C90" s="955"/>
      <c r="D90" s="41"/>
      <c r="E90" s="684"/>
      <c r="F90" s="684"/>
      <c r="G90" s="37"/>
      <c r="H90" s="684"/>
      <c r="I90" s="684"/>
      <c r="J90" s="37"/>
      <c r="K90" s="1055"/>
      <c r="L90" s="684"/>
      <c r="M90" s="684"/>
      <c r="N90" s="1095">
        <f>SUM(E90:M90)</f>
        <v>0</v>
      </c>
      <c r="O90" s="937"/>
      <c r="P90" s="42"/>
      <c r="Q90" s="494"/>
      <c r="R90" s="764"/>
      <c r="S90" s="769">
        <f t="shared" si="28"/>
        <v>0</v>
      </c>
      <c r="T90" s="37"/>
      <c r="U90" s="395"/>
      <c r="V90" s="37"/>
      <c r="W90" s="37"/>
      <c r="X90" s="37"/>
      <c r="Y90" s="476"/>
      <c r="Z90" s="476"/>
      <c r="AA90" s="476"/>
      <c r="AB90" s="476"/>
      <c r="AC90" s="476"/>
      <c r="AD90" s="476"/>
      <c r="AE90" s="476"/>
      <c r="AF90" s="476"/>
      <c r="AG90" s="476"/>
    </row>
    <row r="91" spans="1:33" ht="18.75" x14ac:dyDescent="0.3">
      <c r="A91" s="957"/>
      <c r="B91" s="876"/>
      <c r="C91" s="840"/>
      <c r="D91" s="34"/>
      <c r="E91" s="684"/>
      <c r="F91" s="684"/>
      <c r="G91" s="37"/>
      <c r="H91" s="684"/>
      <c r="I91" s="684"/>
      <c r="J91" s="37"/>
      <c r="K91" s="1055"/>
      <c r="L91" s="684"/>
      <c r="M91" s="684"/>
      <c r="N91" s="1095">
        <f t="shared" ref="N91:N132" si="32">SUM(E91:M91)</f>
        <v>0</v>
      </c>
      <c r="O91" s="937"/>
      <c r="P91" s="42"/>
      <c r="Q91" s="494"/>
      <c r="R91" s="764"/>
      <c r="S91" s="769">
        <f>N91-Q91-R91</f>
        <v>0</v>
      </c>
      <c r="T91" s="870"/>
      <c r="U91" s="886"/>
      <c r="V91" s="886"/>
      <c r="W91" s="886"/>
      <c r="X91" s="870"/>
      <c r="Y91" s="870"/>
      <c r="Z91" s="870"/>
      <c r="AA91" s="870"/>
      <c r="AB91" s="870"/>
      <c r="AC91" s="870"/>
      <c r="AD91" s="870"/>
      <c r="AE91" s="870"/>
      <c r="AF91" s="870"/>
      <c r="AG91" s="870"/>
    </row>
    <row r="92" spans="1:33" ht="18.75" x14ac:dyDescent="0.3">
      <c r="A92" s="957"/>
      <c r="B92" s="876"/>
      <c r="C92" s="840"/>
      <c r="D92" s="34"/>
      <c r="E92" s="684"/>
      <c r="F92" s="684"/>
      <c r="G92" s="37"/>
      <c r="H92" s="684"/>
      <c r="I92" s="684"/>
      <c r="J92" s="37"/>
      <c r="K92" s="1055"/>
      <c r="L92" s="684"/>
      <c r="M92" s="684"/>
      <c r="N92" s="1095">
        <f t="shared" si="32"/>
        <v>0</v>
      </c>
      <c r="O92" s="937"/>
      <c r="P92" s="42"/>
      <c r="Q92" s="494"/>
      <c r="R92" s="764"/>
      <c r="S92" s="769">
        <f t="shared" ref="S92:S100" si="33">N92-Q92-R92</f>
        <v>0</v>
      </c>
      <c r="T92" s="870"/>
      <c r="U92" s="910"/>
      <c r="V92" s="886"/>
      <c r="W92" s="886"/>
      <c r="X92" s="870"/>
      <c r="Y92" s="870"/>
      <c r="Z92" s="870"/>
      <c r="AA92" s="870"/>
      <c r="AB92" s="870"/>
      <c r="AC92" s="870"/>
      <c r="AD92" s="870"/>
      <c r="AE92" s="870"/>
      <c r="AF92" s="870"/>
      <c r="AG92" s="870"/>
    </row>
    <row r="93" spans="1:33" ht="18.75" customHeight="1" x14ac:dyDescent="0.3">
      <c r="A93" s="957"/>
      <c r="B93" s="42"/>
      <c r="C93" s="840"/>
      <c r="D93" s="34"/>
      <c r="E93" s="684"/>
      <c r="F93" s="684"/>
      <c r="G93" s="37"/>
      <c r="H93" s="684"/>
      <c r="I93" s="684"/>
      <c r="J93" s="37"/>
      <c r="K93" s="1055"/>
      <c r="L93" s="684"/>
      <c r="M93" s="684"/>
      <c r="N93" s="1095">
        <f t="shared" si="32"/>
        <v>0</v>
      </c>
      <c r="O93" s="937"/>
      <c r="P93" s="65"/>
      <c r="Q93" s="494"/>
      <c r="R93" s="764"/>
      <c r="S93" s="769">
        <f t="shared" si="33"/>
        <v>0</v>
      </c>
      <c r="T93" s="870"/>
      <c r="U93" s="882"/>
      <c r="V93" s="870"/>
      <c r="W93" s="870"/>
      <c r="X93" s="870"/>
      <c r="Y93" s="870"/>
      <c r="Z93" s="870"/>
      <c r="AA93" s="870"/>
      <c r="AB93" s="870"/>
      <c r="AC93" s="870"/>
      <c r="AD93" s="870"/>
      <c r="AE93" s="870"/>
      <c r="AF93" s="870"/>
      <c r="AG93" s="870"/>
    </row>
    <row r="94" spans="1:33" ht="18.75" customHeight="1" x14ac:dyDescent="0.3">
      <c r="A94" s="957"/>
      <c r="B94" s="42"/>
      <c r="C94" s="955"/>
      <c r="D94" s="34"/>
      <c r="E94" s="684"/>
      <c r="F94" s="684"/>
      <c r="G94" s="37"/>
      <c r="H94" s="684"/>
      <c r="I94" s="684"/>
      <c r="J94" s="37"/>
      <c r="K94" s="1055"/>
      <c r="L94" s="684"/>
      <c r="M94" s="684"/>
      <c r="N94" s="1095">
        <f t="shared" si="32"/>
        <v>0</v>
      </c>
      <c r="O94" s="940"/>
      <c r="P94" s="874"/>
      <c r="Q94" s="875"/>
      <c r="R94" s="764"/>
      <c r="S94" s="769">
        <f t="shared" si="33"/>
        <v>0</v>
      </c>
      <c r="T94" s="870"/>
      <c r="U94" s="882"/>
      <c r="V94" s="870"/>
      <c r="W94" s="870"/>
      <c r="X94" s="870"/>
      <c r="Y94" s="870"/>
      <c r="Z94" s="870"/>
      <c r="AA94" s="870"/>
      <c r="AB94" s="870"/>
      <c r="AC94" s="870"/>
      <c r="AD94" s="870"/>
      <c r="AE94" s="870"/>
      <c r="AF94" s="870"/>
      <c r="AG94" s="870"/>
    </row>
    <row r="95" spans="1:33" ht="18.75" customHeight="1" x14ac:dyDescent="0.3">
      <c r="A95" s="957"/>
      <c r="B95" s="42"/>
      <c r="C95" s="955"/>
      <c r="D95" s="41"/>
      <c r="E95" s="684"/>
      <c r="F95" s="684"/>
      <c r="G95" s="37"/>
      <c r="H95" s="684"/>
      <c r="I95" s="684"/>
      <c r="J95" s="37"/>
      <c r="K95" s="1055"/>
      <c r="L95" s="684"/>
      <c r="M95" s="684"/>
      <c r="N95" s="1095">
        <f t="shared" si="32"/>
        <v>0</v>
      </c>
      <c r="O95" s="940"/>
      <c r="P95" s="874"/>
      <c r="Q95" s="494"/>
      <c r="R95" s="764"/>
      <c r="S95" s="769">
        <f t="shared" si="33"/>
        <v>0</v>
      </c>
      <c r="T95" s="870"/>
      <c r="U95" s="882"/>
      <c r="V95" s="870"/>
      <c r="W95" s="870"/>
      <c r="X95" s="870"/>
      <c r="Y95" s="870"/>
      <c r="Z95" s="870"/>
      <c r="AA95" s="870"/>
      <c r="AB95" s="870"/>
      <c r="AC95" s="870"/>
      <c r="AD95" s="870"/>
      <c r="AE95" s="870"/>
      <c r="AF95" s="870"/>
      <c r="AG95" s="870"/>
    </row>
    <row r="96" spans="1:33" ht="18.75" customHeight="1" x14ac:dyDescent="0.3">
      <c r="A96" s="957"/>
      <c r="B96" s="42"/>
      <c r="C96" s="955"/>
      <c r="D96" s="41"/>
      <c r="E96" s="684"/>
      <c r="F96" s="684"/>
      <c r="G96" s="37"/>
      <c r="H96" s="684"/>
      <c r="I96" s="684"/>
      <c r="J96" s="37"/>
      <c r="K96" s="1055"/>
      <c r="L96" s="684"/>
      <c r="M96" s="684"/>
      <c r="N96" s="1095">
        <f t="shared" si="32"/>
        <v>0</v>
      </c>
      <c r="O96" s="940"/>
      <c r="P96" s="874"/>
      <c r="Q96" s="494"/>
      <c r="R96" s="764"/>
      <c r="S96" s="769">
        <f t="shared" si="33"/>
        <v>0</v>
      </c>
      <c r="T96" s="870"/>
      <c r="U96" s="882"/>
      <c r="V96" s="870"/>
      <c r="W96" s="870"/>
      <c r="X96" s="870"/>
      <c r="Y96" s="870"/>
      <c r="Z96" s="870"/>
      <c r="AA96" s="870"/>
      <c r="AB96" s="870"/>
      <c r="AC96" s="870"/>
      <c r="AD96" s="870"/>
      <c r="AE96" s="870"/>
      <c r="AF96" s="870"/>
      <c r="AG96" s="870"/>
    </row>
    <row r="97" spans="1:33" ht="18.75" customHeight="1" x14ac:dyDescent="0.3">
      <c r="A97" s="957"/>
      <c r="B97" s="42"/>
      <c r="C97" s="955"/>
      <c r="D97" s="41"/>
      <c r="E97" s="684"/>
      <c r="F97" s="684"/>
      <c r="G97" s="37"/>
      <c r="H97" s="684"/>
      <c r="I97" s="684"/>
      <c r="J97" s="37"/>
      <c r="K97" s="1055"/>
      <c r="L97" s="684"/>
      <c r="M97" s="684"/>
      <c r="N97" s="1095">
        <f t="shared" si="32"/>
        <v>0</v>
      </c>
      <c r="O97" s="937"/>
      <c r="P97" s="876"/>
      <c r="Q97" s="494"/>
      <c r="R97" s="764"/>
      <c r="S97" s="769">
        <f t="shared" si="33"/>
        <v>0</v>
      </c>
      <c r="T97" s="870"/>
      <c r="U97" s="882"/>
      <c r="V97" s="870"/>
      <c r="W97" s="870"/>
      <c r="X97" s="870"/>
      <c r="Y97" s="870"/>
      <c r="Z97" s="870"/>
      <c r="AA97" s="870"/>
      <c r="AB97" s="870"/>
      <c r="AC97" s="870"/>
      <c r="AD97" s="870"/>
      <c r="AE97" s="870"/>
      <c r="AF97" s="870"/>
      <c r="AG97" s="870"/>
    </row>
    <row r="98" spans="1:33" ht="18.75" customHeight="1" x14ac:dyDescent="0.3">
      <c r="A98" s="957"/>
      <c r="B98" s="42"/>
      <c r="C98" s="955"/>
      <c r="D98" s="41"/>
      <c r="E98" s="684"/>
      <c r="F98" s="684"/>
      <c r="G98" s="37"/>
      <c r="H98" s="684"/>
      <c r="I98" s="684"/>
      <c r="J98" s="37"/>
      <c r="K98" s="1055"/>
      <c r="L98" s="684"/>
      <c r="M98" s="684"/>
      <c r="N98" s="1095">
        <f t="shared" si="32"/>
        <v>0</v>
      </c>
      <c r="O98" s="940"/>
      <c r="P98" s="874"/>
      <c r="Q98" s="494"/>
      <c r="R98" s="764"/>
      <c r="S98" s="769">
        <f t="shared" si="33"/>
        <v>0</v>
      </c>
      <c r="T98" s="870"/>
      <c r="U98" s="882"/>
      <c r="V98" s="870"/>
      <c r="W98" s="870"/>
      <c r="X98" s="870"/>
      <c r="Y98" s="870"/>
      <c r="Z98" s="870"/>
      <c r="AA98" s="870"/>
      <c r="AB98" s="870"/>
      <c r="AC98" s="870"/>
      <c r="AD98" s="870"/>
      <c r="AE98" s="870"/>
      <c r="AF98" s="870"/>
      <c r="AG98" s="870"/>
    </row>
    <row r="99" spans="1:33" ht="18.75" customHeight="1" x14ac:dyDescent="0.3">
      <c r="A99" s="957"/>
      <c r="B99" s="42"/>
      <c r="C99" s="955"/>
      <c r="D99" s="41"/>
      <c r="E99" s="684"/>
      <c r="F99" s="684"/>
      <c r="G99" s="37"/>
      <c r="H99" s="684"/>
      <c r="I99" s="684"/>
      <c r="J99" s="37"/>
      <c r="K99" s="1055"/>
      <c r="L99" s="684"/>
      <c r="M99" s="684"/>
      <c r="N99" s="1095">
        <f t="shared" si="32"/>
        <v>0</v>
      </c>
      <c r="O99" s="940"/>
      <c r="P99" s="874"/>
      <c r="Q99" s="494"/>
      <c r="R99" s="764"/>
      <c r="S99" s="769">
        <f t="shared" si="33"/>
        <v>0</v>
      </c>
      <c r="T99" s="870"/>
      <c r="U99" s="882"/>
      <c r="V99" s="870"/>
      <c r="W99" s="870"/>
      <c r="X99" s="870"/>
      <c r="Y99" s="870"/>
      <c r="Z99" s="870"/>
      <c r="AA99" s="870"/>
      <c r="AB99" s="870"/>
      <c r="AC99" s="870"/>
      <c r="AD99" s="870"/>
      <c r="AE99" s="870"/>
      <c r="AF99" s="870"/>
      <c r="AG99" s="870"/>
    </row>
    <row r="100" spans="1:33" ht="18.75" customHeight="1" x14ac:dyDescent="0.3">
      <c r="A100" s="957"/>
      <c r="B100" s="42"/>
      <c r="C100" s="955"/>
      <c r="D100" s="41"/>
      <c r="E100" s="684"/>
      <c r="F100" s="684"/>
      <c r="G100" s="37"/>
      <c r="H100" s="684"/>
      <c r="I100" s="684"/>
      <c r="J100" s="37"/>
      <c r="K100" s="1055"/>
      <c r="L100" s="684"/>
      <c r="M100" s="684"/>
      <c r="N100" s="1095">
        <f t="shared" si="32"/>
        <v>0</v>
      </c>
      <c r="O100" s="937"/>
      <c r="P100" s="42"/>
      <c r="Q100" s="494"/>
      <c r="R100" s="764"/>
      <c r="S100" s="769">
        <f t="shared" si="33"/>
        <v>0</v>
      </c>
      <c r="T100" s="870"/>
      <c r="U100" s="882"/>
      <c r="V100" s="883"/>
      <c r="W100" s="883"/>
      <c r="X100" s="883"/>
      <c r="Y100" s="883"/>
      <c r="Z100" s="883"/>
      <c r="AA100" s="883"/>
      <c r="AB100" s="883"/>
      <c r="AC100" s="883"/>
      <c r="AD100" s="883"/>
      <c r="AE100" s="883"/>
      <c r="AF100" s="883"/>
      <c r="AG100" s="883"/>
    </row>
    <row r="101" spans="1:33" ht="18.75" customHeight="1" x14ac:dyDescent="0.3">
      <c r="A101" s="742"/>
      <c r="B101" s="482"/>
      <c r="C101" s="482"/>
      <c r="D101" s="149" t="s">
        <v>237</v>
      </c>
      <c r="E101" s="150">
        <f t="shared" ref="E101:M101" si="34">SUM(E90:E100)</f>
        <v>0</v>
      </c>
      <c r="F101" s="150">
        <f t="shared" si="34"/>
        <v>0</v>
      </c>
      <c r="G101" s="150">
        <f t="shared" si="34"/>
        <v>0</v>
      </c>
      <c r="H101" s="150">
        <f t="shared" si="34"/>
        <v>0</v>
      </c>
      <c r="I101" s="150">
        <f t="shared" si="34"/>
        <v>0</v>
      </c>
      <c r="J101" s="150">
        <f t="shared" si="34"/>
        <v>0</v>
      </c>
      <c r="K101" s="150">
        <f t="shared" si="34"/>
        <v>0</v>
      </c>
      <c r="L101" s="150">
        <f t="shared" si="34"/>
        <v>0</v>
      </c>
      <c r="M101" s="150">
        <f t="shared" si="34"/>
        <v>0</v>
      </c>
      <c r="N101" s="483">
        <f t="shared" si="32"/>
        <v>0</v>
      </c>
      <c r="O101" s="1082"/>
      <c r="P101" s="490"/>
      <c r="Q101" s="509"/>
      <c r="R101" s="765"/>
      <c r="S101" s="769"/>
      <c r="T101" s="55"/>
      <c r="U101" s="395"/>
      <c r="V101" s="37"/>
      <c r="W101" s="37"/>
      <c r="X101" s="37"/>
      <c r="Y101" s="476"/>
      <c r="Z101" s="476"/>
      <c r="AA101" s="476"/>
      <c r="AB101" s="476"/>
      <c r="AC101" s="476"/>
      <c r="AD101" s="476"/>
      <c r="AE101" s="476"/>
      <c r="AF101" s="476"/>
      <c r="AG101" s="476"/>
    </row>
    <row r="102" spans="1:33" ht="18.75" customHeight="1" x14ac:dyDescent="0.3">
      <c r="A102" s="742"/>
      <c r="B102" s="482"/>
      <c r="C102" s="482"/>
      <c r="D102" s="149" t="s">
        <v>238</v>
      </c>
      <c r="E102" s="150">
        <f t="shared" ref="E102:M102" si="35">SUM(E88+E101)</f>
        <v>1908667.52</v>
      </c>
      <c r="F102" s="150">
        <f t="shared" si="35"/>
        <v>10748.869999999999</v>
      </c>
      <c r="G102" s="150">
        <f t="shared" si="35"/>
        <v>26880.09</v>
      </c>
      <c r="H102" s="150">
        <f t="shared" si="35"/>
        <v>94447</v>
      </c>
      <c r="I102" s="150">
        <f t="shared" si="35"/>
        <v>0</v>
      </c>
      <c r="J102" s="150">
        <f t="shared" si="35"/>
        <v>26438.639999999999</v>
      </c>
      <c r="K102" s="150">
        <f t="shared" si="35"/>
        <v>64200</v>
      </c>
      <c r="L102" s="150">
        <f t="shared" si="35"/>
        <v>1449950</v>
      </c>
      <c r="M102" s="150">
        <f t="shared" si="35"/>
        <v>1145328</v>
      </c>
      <c r="N102" s="483">
        <f t="shared" si="32"/>
        <v>4726660.12</v>
      </c>
      <c r="O102" s="1082"/>
      <c r="P102" s="490"/>
      <c r="Q102" s="509"/>
      <c r="R102" s="765"/>
      <c r="S102" s="769"/>
      <c r="T102" s="55"/>
      <c r="U102" s="395"/>
      <c r="V102" s="37"/>
      <c r="W102" s="37"/>
      <c r="X102" s="37"/>
      <c r="Y102" s="476"/>
      <c r="Z102" s="476"/>
      <c r="AA102" s="476"/>
      <c r="AB102" s="476"/>
      <c r="AC102" s="476"/>
      <c r="AD102" s="476"/>
      <c r="AE102" s="476"/>
      <c r="AF102" s="476"/>
      <c r="AG102" s="476"/>
    </row>
    <row r="103" spans="1:33" ht="18.75" customHeight="1" x14ac:dyDescent="0.3">
      <c r="A103" s="743"/>
      <c r="B103" s="484"/>
      <c r="C103" s="484"/>
      <c r="D103" s="152" t="s">
        <v>239</v>
      </c>
      <c r="E103" s="153">
        <f>SUM(E89-E101)+1599700+40000</f>
        <v>2750832.48</v>
      </c>
      <c r="F103" s="153">
        <f>SUM(F89-F101)</f>
        <v>109051.13</v>
      </c>
      <c r="G103" s="153">
        <f>SUM(G89-G101)</f>
        <v>13119.91</v>
      </c>
      <c r="H103" s="153">
        <f>SUM(H89-H101)+23300</f>
        <v>153853</v>
      </c>
      <c r="I103" s="153">
        <f>SUM(I89-I101)</f>
        <v>1200000</v>
      </c>
      <c r="J103" s="153">
        <f>SUM(J89-J101)</f>
        <v>73561.359999999986</v>
      </c>
      <c r="K103" s="153">
        <f>SUM(K89-K101)+100000</f>
        <v>200000</v>
      </c>
      <c r="L103" s="153">
        <f>SUM(L89-L101)+100000</f>
        <v>145850</v>
      </c>
      <c r="M103" s="153">
        <f>SUM(M89-M101)</f>
        <v>-45328</v>
      </c>
      <c r="N103" s="485">
        <f t="shared" si="32"/>
        <v>4600939.88</v>
      </c>
      <c r="O103" s="1082"/>
      <c r="P103" s="490"/>
      <c r="Q103" s="509"/>
      <c r="R103" s="765"/>
      <c r="S103" s="769"/>
      <c r="T103" s="55"/>
      <c r="U103" s="395"/>
      <c r="V103" s="37"/>
      <c r="W103" s="43"/>
      <c r="X103" s="43"/>
      <c r="Y103" s="477"/>
      <c r="Z103" s="477"/>
      <c r="AA103" s="477"/>
      <c r="AB103" s="477"/>
      <c r="AC103" s="477"/>
      <c r="AD103" s="477"/>
      <c r="AE103" s="477"/>
      <c r="AF103" s="477"/>
      <c r="AG103" s="477"/>
    </row>
    <row r="104" spans="1:33" ht="18.75" customHeight="1" x14ac:dyDescent="0.3">
      <c r="A104" s="1035" t="s">
        <v>240</v>
      </c>
      <c r="B104" s="42"/>
      <c r="C104" s="955"/>
      <c r="D104" s="41"/>
      <c r="E104" s="684"/>
      <c r="F104" s="684"/>
      <c r="G104" s="37"/>
      <c r="H104" s="684"/>
      <c r="I104" s="684"/>
      <c r="J104" s="37"/>
      <c r="K104" s="1055"/>
      <c r="L104" s="684"/>
      <c r="M104" s="684"/>
      <c r="N104" s="1095">
        <f t="shared" si="32"/>
        <v>0</v>
      </c>
      <c r="O104" s="937"/>
      <c r="P104" s="42"/>
      <c r="Q104" s="494"/>
      <c r="R104" s="764"/>
      <c r="S104" s="769"/>
      <c r="T104" s="37"/>
      <c r="U104" s="395"/>
      <c r="V104" s="37"/>
      <c r="W104" s="37"/>
      <c r="X104" s="37"/>
      <c r="Y104" s="476"/>
      <c r="Z104" s="476"/>
      <c r="AA104" s="476"/>
      <c r="AB104" s="476"/>
      <c r="AC104" s="476"/>
      <c r="AD104" s="476"/>
      <c r="AE104" s="476"/>
      <c r="AF104" s="476"/>
      <c r="AG104" s="476"/>
    </row>
    <row r="105" spans="1:33" ht="18.75" x14ac:dyDescent="0.3">
      <c r="A105" s="957"/>
      <c r="B105" s="876"/>
      <c r="C105" s="840"/>
      <c r="D105" s="34"/>
      <c r="E105" s="684"/>
      <c r="F105" s="684"/>
      <c r="G105" s="37"/>
      <c r="H105" s="684"/>
      <c r="I105" s="684"/>
      <c r="J105" s="37"/>
      <c r="K105" s="1055"/>
      <c r="L105" s="684"/>
      <c r="M105" s="684"/>
      <c r="N105" s="1095">
        <f t="shared" si="32"/>
        <v>0</v>
      </c>
      <c r="O105" s="937"/>
      <c r="P105" s="42"/>
      <c r="Q105" s="494"/>
      <c r="R105" s="764"/>
      <c r="S105" s="769">
        <f>N105-Q105-R105</f>
        <v>0</v>
      </c>
      <c r="T105" s="870"/>
      <c r="U105" s="886"/>
      <c r="V105" s="886"/>
      <c r="W105" s="886"/>
      <c r="X105" s="870"/>
      <c r="Y105" s="870"/>
      <c r="Z105" s="870"/>
      <c r="AA105" s="870"/>
      <c r="AB105" s="870"/>
      <c r="AC105" s="870"/>
      <c r="AD105" s="870"/>
      <c r="AE105" s="870"/>
      <c r="AF105" s="870"/>
      <c r="AG105" s="870"/>
    </row>
    <row r="106" spans="1:33" ht="18.75" x14ac:dyDescent="0.3">
      <c r="A106" s="957"/>
      <c r="B106" s="876"/>
      <c r="C106" s="840"/>
      <c r="D106" s="34"/>
      <c r="E106" s="684"/>
      <c r="F106" s="684"/>
      <c r="G106" s="37"/>
      <c r="H106" s="684"/>
      <c r="I106" s="684"/>
      <c r="J106" s="37"/>
      <c r="K106" s="1055"/>
      <c r="L106" s="684"/>
      <c r="M106" s="684"/>
      <c r="N106" s="1095">
        <f t="shared" si="32"/>
        <v>0</v>
      </c>
      <c r="O106" s="937"/>
      <c r="P106" s="42"/>
      <c r="Q106" s="494"/>
      <c r="R106" s="764"/>
      <c r="S106" s="769">
        <f t="shared" ref="S106:S118" si="36">N106-Q106-R106</f>
        <v>0</v>
      </c>
      <c r="T106" s="870"/>
      <c r="U106" s="910"/>
      <c r="V106" s="886"/>
      <c r="W106" s="886"/>
      <c r="X106" s="870"/>
      <c r="Y106" s="870"/>
      <c r="Z106" s="870"/>
      <c r="AA106" s="870"/>
      <c r="AB106" s="870"/>
      <c r="AC106" s="870"/>
      <c r="AD106" s="870"/>
      <c r="AE106" s="870"/>
      <c r="AF106" s="870"/>
      <c r="AG106" s="870"/>
    </row>
    <row r="107" spans="1:33" ht="18.75" customHeight="1" x14ac:dyDescent="0.3">
      <c r="A107" s="957"/>
      <c r="B107" s="42"/>
      <c r="C107" s="840"/>
      <c r="D107" s="34"/>
      <c r="E107" s="684"/>
      <c r="F107" s="684"/>
      <c r="G107" s="37"/>
      <c r="H107" s="684"/>
      <c r="I107" s="684"/>
      <c r="J107" s="37"/>
      <c r="K107" s="1055"/>
      <c r="L107" s="684"/>
      <c r="M107" s="684"/>
      <c r="N107" s="1095">
        <f t="shared" si="32"/>
        <v>0</v>
      </c>
      <c r="O107" s="937"/>
      <c r="P107" s="65"/>
      <c r="Q107" s="494"/>
      <c r="R107" s="764"/>
      <c r="S107" s="769">
        <f t="shared" si="36"/>
        <v>0</v>
      </c>
      <c r="T107" s="870"/>
      <c r="U107" s="882"/>
      <c r="V107" s="870"/>
      <c r="W107" s="870"/>
      <c r="X107" s="870"/>
      <c r="Y107" s="870"/>
      <c r="Z107" s="870"/>
      <c r="AA107" s="870"/>
      <c r="AB107" s="870"/>
      <c r="AC107" s="870"/>
      <c r="AD107" s="870"/>
      <c r="AE107" s="870"/>
      <c r="AF107" s="870"/>
      <c r="AG107" s="870"/>
    </row>
    <row r="108" spans="1:33" ht="18.75" customHeight="1" x14ac:dyDescent="0.3">
      <c r="A108" s="957"/>
      <c r="B108" s="42"/>
      <c r="C108" s="955"/>
      <c r="D108" s="34"/>
      <c r="E108" s="684"/>
      <c r="F108" s="684"/>
      <c r="G108" s="37"/>
      <c r="H108" s="684"/>
      <c r="I108" s="684"/>
      <c r="J108" s="37"/>
      <c r="K108" s="1055"/>
      <c r="L108" s="684"/>
      <c r="M108" s="684"/>
      <c r="N108" s="1095">
        <f t="shared" si="32"/>
        <v>0</v>
      </c>
      <c r="O108" s="940"/>
      <c r="P108" s="874"/>
      <c r="Q108" s="875"/>
      <c r="R108" s="764"/>
      <c r="S108" s="769">
        <f t="shared" si="36"/>
        <v>0</v>
      </c>
      <c r="T108" s="870"/>
      <c r="U108" s="882"/>
      <c r="V108" s="870"/>
      <c r="W108" s="870"/>
      <c r="X108" s="870"/>
      <c r="Y108" s="870"/>
      <c r="Z108" s="870"/>
      <c r="AA108" s="870"/>
      <c r="AB108" s="870"/>
      <c r="AC108" s="870"/>
      <c r="AD108" s="870"/>
      <c r="AE108" s="870"/>
      <c r="AF108" s="870"/>
      <c r="AG108" s="870"/>
    </row>
    <row r="109" spans="1:33" ht="18.75" customHeight="1" x14ac:dyDescent="0.3">
      <c r="A109" s="957"/>
      <c r="B109" s="42"/>
      <c r="C109" s="955"/>
      <c r="D109" s="41"/>
      <c r="E109" s="684"/>
      <c r="F109" s="684"/>
      <c r="G109" s="37"/>
      <c r="H109" s="684"/>
      <c r="I109" s="684"/>
      <c r="J109" s="37"/>
      <c r="K109" s="1055"/>
      <c r="L109" s="684"/>
      <c r="M109" s="684"/>
      <c r="N109" s="1095">
        <f t="shared" si="32"/>
        <v>0</v>
      </c>
      <c r="O109" s="940"/>
      <c r="P109" s="874"/>
      <c r="Q109" s="494"/>
      <c r="R109" s="764"/>
      <c r="S109" s="769">
        <f t="shared" si="36"/>
        <v>0</v>
      </c>
      <c r="T109" s="870"/>
      <c r="U109" s="882"/>
      <c r="V109" s="870"/>
      <c r="W109" s="870"/>
      <c r="X109" s="870"/>
      <c r="Y109" s="870"/>
      <c r="Z109" s="870"/>
      <c r="AA109" s="870"/>
      <c r="AB109" s="870"/>
      <c r="AC109" s="870"/>
      <c r="AD109" s="870"/>
      <c r="AE109" s="870"/>
      <c r="AF109" s="870"/>
      <c r="AG109" s="870"/>
    </row>
    <row r="110" spans="1:33" ht="18.75" customHeight="1" x14ac:dyDescent="0.3">
      <c r="A110" s="957"/>
      <c r="B110" s="42"/>
      <c r="C110" s="955"/>
      <c r="D110" s="41"/>
      <c r="E110" s="684"/>
      <c r="F110" s="684"/>
      <c r="G110" s="37"/>
      <c r="H110" s="684"/>
      <c r="I110" s="684"/>
      <c r="J110" s="37"/>
      <c r="K110" s="1055"/>
      <c r="L110" s="684"/>
      <c r="M110" s="684"/>
      <c r="N110" s="1095">
        <f t="shared" si="32"/>
        <v>0</v>
      </c>
      <c r="O110" s="940"/>
      <c r="P110" s="874"/>
      <c r="Q110" s="494"/>
      <c r="R110" s="764"/>
      <c r="S110" s="769">
        <f t="shared" si="36"/>
        <v>0</v>
      </c>
      <c r="T110" s="870"/>
      <c r="U110" s="882"/>
      <c r="V110" s="870"/>
      <c r="W110" s="870"/>
      <c r="X110" s="870"/>
      <c r="Y110" s="870"/>
      <c r="Z110" s="870"/>
      <c r="AA110" s="870"/>
      <c r="AB110" s="870"/>
      <c r="AC110" s="870"/>
      <c r="AD110" s="870"/>
      <c r="AE110" s="870"/>
      <c r="AF110" s="870"/>
      <c r="AG110" s="870"/>
    </row>
    <row r="111" spans="1:33" ht="18.75" customHeight="1" x14ac:dyDescent="0.3">
      <c r="A111" s="957"/>
      <c r="B111" s="42"/>
      <c r="C111" s="955"/>
      <c r="D111" s="41"/>
      <c r="E111" s="684"/>
      <c r="F111" s="684"/>
      <c r="G111" s="37"/>
      <c r="H111" s="684"/>
      <c r="I111" s="684"/>
      <c r="J111" s="37"/>
      <c r="K111" s="1055"/>
      <c r="L111" s="684"/>
      <c r="M111" s="684"/>
      <c r="N111" s="1095">
        <f t="shared" si="32"/>
        <v>0</v>
      </c>
      <c r="O111" s="937"/>
      <c r="P111" s="876"/>
      <c r="Q111" s="494"/>
      <c r="R111" s="764"/>
      <c r="S111" s="769">
        <f t="shared" si="36"/>
        <v>0</v>
      </c>
      <c r="T111" s="870"/>
      <c r="U111" s="882"/>
      <c r="V111" s="870"/>
      <c r="W111" s="870"/>
      <c r="X111" s="870"/>
      <c r="Y111" s="870"/>
      <c r="Z111" s="870"/>
      <c r="AA111" s="870"/>
      <c r="AB111" s="870"/>
      <c r="AC111" s="870"/>
      <c r="AD111" s="870"/>
      <c r="AE111" s="870"/>
      <c r="AF111" s="870"/>
      <c r="AG111" s="870"/>
    </row>
    <row r="112" spans="1:33" ht="18.75" customHeight="1" x14ac:dyDescent="0.3">
      <c r="A112" s="957"/>
      <c r="B112" s="42"/>
      <c r="C112" s="955"/>
      <c r="D112" s="41"/>
      <c r="E112" s="684"/>
      <c r="F112" s="684"/>
      <c r="G112" s="37"/>
      <c r="H112" s="684"/>
      <c r="I112" s="684"/>
      <c r="J112" s="37"/>
      <c r="K112" s="1055"/>
      <c r="L112" s="684"/>
      <c r="M112" s="684"/>
      <c r="N112" s="1095">
        <f t="shared" si="32"/>
        <v>0</v>
      </c>
      <c r="O112" s="940"/>
      <c r="P112" s="874"/>
      <c r="Q112" s="494"/>
      <c r="R112" s="764"/>
      <c r="S112" s="769">
        <f t="shared" si="36"/>
        <v>0</v>
      </c>
      <c r="T112" s="870"/>
      <c r="U112" s="882"/>
      <c r="V112" s="870"/>
      <c r="W112" s="870"/>
      <c r="X112" s="870"/>
      <c r="Y112" s="870"/>
      <c r="Z112" s="870"/>
      <c r="AA112" s="870"/>
      <c r="AB112" s="870"/>
      <c r="AC112" s="870"/>
      <c r="AD112" s="870"/>
      <c r="AE112" s="870"/>
      <c r="AF112" s="870"/>
      <c r="AG112" s="870"/>
    </row>
    <row r="113" spans="1:33" ht="18.75" customHeight="1" x14ac:dyDescent="0.3">
      <c r="A113" s="957"/>
      <c r="B113" s="42"/>
      <c r="C113" s="955"/>
      <c r="D113" s="41"/>
      <c r="E113" s="684"/>
      <c r="F113" s="684"/>
      <c r="G113" s="37"/>
      <c r="H113" s="684"/>
      <c r="I113" s="684"/>
      <c r="J113" s="37"/>
      <c r="K113" s="1055"/>
      <c r="L113" s="684"/>
      <c r="M113" s="684"/>
      <c r="N113" s="1095">
        <f t="shared" si="32"/>
        <v>0</v>
      </c>
      <c r="O113" s="940"/>
      <c r="P113" s="874"/>
      <c r="Q113" s="494"/>
      <c r="R113" s="764"/>
      <c r="S113" s="769">
        <f t="shared" si="36"/>
        <v>0</v>
      </c>
      <c r="T113" s="870"/>
      <c r="U113" s="882"/>
      <c r="V113" s="870"/>
      <c r="W113" s="870"/>
      <c r="X113" s="870"/>
      <c r="Y113" s="870"/>
      <c r="Z113" s="870"/>
      <c r="AA113" s="870"/>
      <c r="AB113" s="870"/>
      <c r="AC113" s="870"/>
      <c r="AD113" s="870"/>
      <c r="AE113" s="870"/>
      <c r="AF113" s="870"/>
      <c r="AG113" s="870"/>
    </row>
    <row r="114" spans="1:33" ht="18.75" customHeight="1" x14ac:dyDescent="0.3">
      <c r="A114" s="957"/>
      <c r="B114" s="42"/>
      <c r="C114" s="955"/>
      <c r="D114" s="41"/>
      <c r="E114" s="684"/>
      <c r="F114" s="684"/>
      <c r="G114" s="37"/>
      <c r="H114" s="684"/>
      <c r="I114" s="684"/>
      <c r="J114" s="37"/>
      <c r="K114" s="1055"/>
      <c r="L114" s="684"/>
      <c r="M114" s="684"/>
      <c r="N114" s="1095">
        <f t="shared" si="32"/>
        <v>0</v>
      </c>
      <c r="O114" s="937"/>
      <c r="P114" s="42"/>
      <c r="Q114" s="494"/>
      <c r="R114" s="764"/>
      <c r="S114" s="769">
        <f t="shared" si="36"/>
        <v>0</v>
      </c>
      <c r="T114" s="870"/>
      <c r="U114" s="882"/>
      <c r="V114" s="883"/>
      <c r="W114" s="883"/>
      <c r="X114" s="883"/>
      <c r="Y114" s="883"/>
      <c r="Z114" s="883"/>
      <c r="AA114" s="883"/>
      <c r="AB114" s="883"/>
      <c r="AC114" s="883"/>
      <c r="AD114" s="883"/>
      <c r="AE114" s="883"/>
      <c r="AF114" s="883"/>
      <c r="AG114" s="883"/>
    </row>
    <row r="115" spans="1:33" ht="18.75" customHeight="1" x14ac:dyDescent="0.3">
      <c r="A115" s="742"/>
      <c r="B115" s="482"/>
      <c r="C115" s="482"/>
      <c r="D115" s="149" t="s">
        <v>241</v>
      </c>
      <c r="E115" s="150">
        <f t="shared" ref="E115:M115" si="37">SUM(E104:E114)</f>
        <v>0</v>
      </c>
      <c r="F115" s="150">
        <f t="shared" si="37"/>
        <v>0</v>
      </c>
      <c r="G115" s="150">
        <f t="shared" si="37"/>
        <v>0</v>
      </c>
      <c r="H115" s="150">
        <f t="shared" si="37"/>
        <v>0</v>
      </c>
      <c r="I115" s="150">
        <f t="shared" si="37"/>
        <v>0</v>
      </c>
      <c r="J115" s="150">
        <f t="shared" si="37"/>
        <v>0</v>
      </c>
      <c r="K115" s="150">
        <f t="shared" si="37"/>
        <v>0</v>
      </c>
      <c r="L115" s="150">
        <f t="shared" si="37"/>
        <v>0</v>
      </c>
      <c r="M115" s="150">
        <f t="shared" si="37"/>
        <v>0</v>
      </c>
      <c r="N115" s="483">
        <f t="shared" si="32"/>
        <v>0</v>
      </c>
      <c r="O115" s="937"/>
      <c r="P115" s="42"/>
      <c r="Q115" s="494"/>
      <c r="R115" s="764"/>
      <c r="S115" s="769">
        <f t="shared" si="36"/>
        <v>0</v>
      </c>
      <c r="T115" s="55"/>
      <c r="U115" s="395"/>
      <c r="V115" s="43"/>
      <c r="W115" s="43"/>
      <c r="X115" s="43"/>
      <c r="Y115" s="477"/>
      <c r="Z115" s="477"/>
      <c r="AA115" s="477"/>
      <c r="AB115" s="477"/>
      <c r="AC115" s="477"/>
      <c r="AD115" s="477"/>
      <c r="AE115" s="477"/>
      <c r="AF115" s="477"/>
      <c r="AG115" s="477"/>
    </row>
    <row r="116" spans="1:33" ht="18.75" customHeight="1" x14ac:dyDescent="0.3">
      <c r="A116" s="742"/>
      <c r="B116" s="482"/>
      <c r="C116" s="482"/>
      <c r="D116" s="149" t="s">
        <v>242</v>
      </c>
      <c r="E116" s="150">
        <f t="shared" ref="E116:M116" si="38">SUM(E102+E115)</f>
        <v>1908667.52</v>
      </c>
      <c r="F116" s="150">
        <f t="shared" si="38"/>
        <v>10748.869999999999</v>
      </c>
      <c r="G116" s="150">
        <f t="shared" si="38"/>
        <v>26880.09</v>
      </c>
      <c r="H116" s="150">
        <f t="shared" si="38"/>
        <v>94447</v>
      </c>
      <c r="I116" s="150">
        <f t="shared" si="38"/>
        <v>0</v>
      </c>
      <c r="J116" s="150">
        <f t="shared" si="38"/>
        <v>26438.639999999999</v>
      </c>
      <c r="K116" s="150">
        <f t="shared" si="38"/>
        <v>64200</v>
      </c>
      <c r="L116" s="150">
        <f t="shared" si="38"/>
        <v>1449950</v>
      </c>
      <c r="M116" s="150">
        <f t="shared" si="38"/>
        <v>1145328</v>
      </c>
      <c r="N116" s="483">
        <f t="shared" si="32"/>
        <v>4726660.12</v>
      </c>
      <c r="O116" s="937"/>
      <c r="P116" s="42"/>
      <c r="Q116" s="494"/>
      <c r="R116" s="764"/>
      <c r="S116" s="769">
        <f t="shared" si="36"/>
        <v>4726660.12</v>
      </c>
      <c r="T116" s="55"/>
      <c r="U116" s="395"/>
      <c r="V116" s="43"/>
      <c r="W116" s="43"/>
      <c r="X116" s="43"/>
      <c r="Y116" s="477"/>
      <c r="Z116" s="477"/>
      <c r="AA116" s="477"/>
      <c r="AB116" s="477"/>
      <c r="AC116" s="477"/>
      <c r="AD116" s="477"/>
      <c r="AE116" s="477"/>
      <c r="AF116" s="477"/>
      <c r="AG116" s="477"/>
    </row>
    <row r="117" spans="1:33" ht="18.75" customHeight="1" x14ac:dyDescent="0.3">
      <c r="A117" s="743"/>
      <c r="B117" s="484"/>
      <c r="C117" s="484"/>
      <c r="D117" s="152" t="s">
        <v>243</v>
      </c>
      <c r="E117" s="153">
        <f t="shared" ref="E117:M117" si="39">SUM(E103-E115)</f>
        <v>2750832.48</v>
      </c>
      <c r="F117" s="153">
        <f t="shared" si="39"/>
        <v>109051.13</v>
      </c>
      <c r="G117" s="153">
        <f t="shared" si="39"/>
        <v>13119.91</v>
      </c>
      <c r="H117" s="153">
        <f t="shared" si="39"/>
        <v>153853</v>
      </c>
      <c r="I117" s="153">
        <f t="shared" si="39"/>
        <v>1200000</v>
      </c>
      <c r="J117" s="153">
        <f t="shared" si="39"/>
        <v>73561.359999999986</v>
      </c>
      <c r="K117" s="153">
        <f t="shared" si="39"/>
        <v>200000</v>
      </c>
      <c r="L117" s="153">
        <f t="shared" si="39"/>
        <v>145850</v>
      </c>
      <c r="M117" s="153">
        <f t="shared" si="39"/>
        <v>-45328</v>
      </c>
      <c r="N117" s="485">
        <f t="shared" si="32"/>
        <v>4600939.88</v>
      </c>
      <c r="O117" s="937"/>
      <c r="P117" s="42"/>
      <c r="Q117" s="494"/>
      <c r="R117" s="764"/>
      <c r="S117" s="769">
        <f t="shared" si="36"/>
        <v>4600939.88</v>
      </c>
      <c r="T117" s="55"/>
      <c r="U117" s="395"/>
      <c r="V117" s="37"/>
      <c r="W117" s="488"/>
      <c r="X117" s="488"/>
      <c r="Y117" s="489"/>
      <c r="Z117" s="489"/>
      <c r="AA117" s="489"/>
      <c r="AB117" s="489"/>
      <c r="AC117" s="489"/>
      <c r="AD117" s="489"/>
      <c r="AE117" s="489"/>
      <c r="AF117" s="489"/>
      <c r="AG117" s="489"/>
    </row>
    <row r="118" spans="1:33" ht="18.75" customHeight="1" x14ac:dyDescent="0.3">
      <c r="A118" s="1035" t="s">
        <v>244</v>
      </c>
      <c r="B118" s="42"/>
      <c r="C118" s="955"/>
      <c r="D118" s="41"/>
      <c r="E118" s="684"/>
      <c r="F118" s="684"/>
      <c r="G118" s="37"/>
      <c r="H118" s="684"/>
      <c r="I118" s="684"/>
      <c r="J118" s="37"/>
      <c r="K118" s="1055"/>
      <c r="L118" s="684"/>
      <c r="M118" s="684"/>
      <c r="N118" s="1030">
        <f t="shared" si="32"/>
        <v>0</v>
      </c>
      <c r="O118" s="937"/>
      <c r="P118" s="42"/>
      <c r="Q118" s="494"/>
      <c r="R118" s="764"/>
      <c r="S118" s="769">
        <f t="shared" si="36"/>
        <v>0</v>
      </c>
      <c r="T118" s="37"/>
      <c r="U118" s="395"/>
      <c r="V118" s="37"/>
      <c r="W118" s="37"/>
      <c r="X118" s="37"/>
      <c r="Y118" s="476"/>
      <c r="Z118" s="476"/>
      <c r="AA118" s="476"/>
      <c r="AB118" s="476"/>
      <c r="AC118" s="476"/>
      <c r="AD118" s="476"/>
      <c r="AE118" s="476"/>
      <c r="AF118" s="476"/>
      <c r="AG118" s="476"/>
    </row>
    <row r="119" spans="1:33" ht="18.75" x14ac:dyDescent="0.3">
      <c r="A119" s="957"/>
      <c r="B119" s="876"/>
      <c r="C119" s="840"/>
      <c r="D119" s="34"/>
      <c r="E119" s="684"/>
      <c r="F119" s="684"/>
      <c r="G119" s="37"/>
      <c r="H119" s="684"/>
      <c r="I119" s="684"/>
      <c r="J119" s="37"/>
      <c r="K119" s="1055"/>
      <c r="L119" s="684"/>
      <c r="M119" s="684"/>
      <c r="N119" s="1095">
        <f t="shared" ref="N119:N128" si="40">SUM(E119:M119)</f>
        <v>0</v>
      </c>
      <c r="O119" s="937"/>
      <c r="P119" s="42"/>
      <c r="Q119" s="494"/>
      <c r="R119" s="764"/>
      <c r="S119" s="769">
        <f>N119-Q119-R119</f>
        <v>0</v>
      </c>
      <c r="T119" s="870"/>
      <c r="U119" s="886"/>
      <c r="V119" s="886"/>
      <c r="W119" s="886"/>
      <c r="X119" s="870"/>
      <c r="Y119" s="870"/>
      <c r="Z119" s="870"/>
      <c r="AA119" s="870"/>
      <c r="AB119" s="870"/>
      <c r="AC119" s="870"/>
      <c r="AD119" s="870"/>
      <c r="AE119" s="870"/>
      <c r="AF119" s="870"/>
      <c r="AG119" s="870"/>
    </row>
    <row r="120" spans="1:33" ht="18.75" x14ac:dyDescent="0.3">
      <c r="A120" s="957"/>
      <c r="B120" s="876"/>
      <c r="C120" s="840"/>
      <c r="D120" s="34"/>
      <c r="E120" s="684"/>
      <c r="F120" s="684"/>
      <c r="G120" s="37"/>
      <c r="H120" s="684"/>
      <c r="I120" s="684"/>
      <c r="J120" s="37"/>
      <c r="K120" s="1055"/>
      <c r="L120" s="684"/>
      <c r="M120" s="684"/>
      <c r="N120" s="1095">
        <f t="shared" si="40"/>
        <v>0</v>
      </c>
      <c r="O120" s="937"/>
      <c r="P120" s="42"/>
      <c r="Q120" s="494"/>
      <c r="R120" s="764"/>
      <c r="S120" s="769">
        <f t="shared" ref="S120:S132" si="41">N120-Q120-R120</f>
        <v>0</v>
      </c>
      <c r="T120" s="870"/>
      <c r="U120" s="910"/>
      <c r="V120" s="886"/>
      <c r="W120" s="886"/>
      <c r="X120" s="870"/>
      <c r="Y120" s="870"/>
      <c r="Z120" s="870"/>
      <c r="AA120" s="870"/>
      <c r="AB120" s="870"/>
      <c r="AC120" s="870"/>
      <c r="AD120" s="870"/>
      <c r="AE120" s="870"/>
      <c r="AF120" s="870"/>
      <c r="AG120" s="870"/>
    </row>
    <row r="121" spans="1:33" ht="18.75" customHeight="1" x14ac:dyDescent="0.3">
      <c r="A121" s="957"/>
      <c r="B121" s="42"/>
      <c r="C121" s="840"/>
      <c r="D121" s="34"/>
      <c r="E121" s="684"/>
      <c r="F121" s="684"/>
      <c r="G121" s="37"/>
      <c r="H121" s="684"/>
      <c r="I121" s="684"/>
      <c r="J121" s="37"/>
      <c r="K121" s="1055"/>
      <c r="L121" s="684"/>
      <c r="M121" s="684"/>
      <c r="N121" s="1095">
        <f t="shared" si="40"/>
        <v>0</v>
      </c>
      <c r="O121" s="937"/>
      <c r="P121" s="65"/>
      <c r="Q121" s="494"/>
      <c r="R121" s="764"/>
      <c r="S121" s="769">
        <f t="shared" si="41"/>
        <v>0</v>
      </c>
      <c r="T121" s="870"/>
      <c r="U121" s="882"/>
      <c r="V121" s="870"/>
      <c r="W121" s="870"/>
      <c r="X121" s="870"/>
      <c r="Y121" s="870"/>
      <c r="Z121" s="870"/>
      <c r="AA121" s="870"/>
      <c r="AB121" s="870"/>
      <c r="AC121" s="870"/>
      <c r="AD121" s="870"/>
      <c r="AE121" s="870"/>
      <c r="AF121" s="870"/>
      <c r="AG121" s="870"/>
    </row>
    <row r="122" spans="1:33" ht="18.75" customHeight="1" x14ac:dyDescent="0.3">
      <c r="A122" s="957"/>
      <c r="B122" s="42"/>
      <c r="C122" s="955"/>
      <c r="D122" s="34"/>
      <c r="E122" s="684"/>
      <c r="F122" s="684"/>
      <c r="G122" s="37"/>
      <c r="H122" s="684"/>
      <c r="I122" s="684"/>
      <c r="J122" s="37"/>
      <c r="K122" s="1055"/>
      <c r="L122" s="684"/>
      <c r="M122" s="684"/>
      <c r="N122" s="1095">
        <f t="shared" si="40"/>
        <v>0</v>
      </c>
      <c r="O122" s="940"/>
      <c r="P122" s="874"/>
      <c r="Q122" s="875"/>
      <c r="R122" s="764"/>
      <c r="S122" s="769">
        <f t="shared" si="41"/>
        <v>0</v>
      </c>
      <c r="T122" s="870"/>
      <c r="U122" s="882"/>
      <c r="V122" s="870"/>
      <c r="W122" s="870"/>
      <c r="X122" s="870"/>
      <c r="Y122" s="870"/>
      <c r="Z122" s="870"/>
      <c r="AA122" s="870"/>
      <c r="AB122" s="870"/>
      <c r="AC122" s="870"/>
      <c r="AD122" s="870"/>
      <c r="AE122" s="870"/>
      <c r="AF122" s="870"/>
      <c r="AG122" s="870"/>
    </row>
    <row r="123" spans="1:33" ht="18.75" customHeight="1" x14ac:dyDescent="0.3">
      <c r="A123" s="957"/>
      <c r="B123" s="42"/>
      <c r="C123" s="955"/>
      <c r="D123" s="41"/>
      <c r="E123" s="684"/>
      <c r="F123" s="684"/>
      <c r="G123" s="37"/>
      <c r="H123" s="684"/>
      <c r="I123" s="684"/>
      <c r="J123" s="37"/>
      <c r="K123" s="1055"/>
      <c r="L123" s="684"/>
      <c r="M123" s="684"/>
      <c r="N123" s="1095">
        <f t="shared" si="40"/>
        <v>0</v>
      </c>
      <c r="O123" s="940"/>
      <c r="P123" s="874"/>
      <c r="Q123" s="494"/>
      <c r="R123" s="764"/>
      <c r="S123" s="769">
        <f t="shared" si="41"/>
        <v>0</v>
      </c>
      <c r="T123" s="870"/>
      <c r="U123" s="882"/>
      <c r="V123" s="870"/>
      <c r="W123" s="870"/>
      <c r="X123" s="870"/>
      <c r="Y123" s="870"/>
      <c r="Z123" s="870"/>
      <c r="AA123" s="870"/>
      <c r="AB123" s="870"/>
      <c r="AC123" s="870"/>
      <c r="AD123" s="870"/>
      <c r="AE123" s="870"/>
      <c r="AF123" s="870"/>
      <c r="AG123" s="870"/>
    </row>
    <row r="124" spans="1:33" ht="18.75" customHeight="1" x14ac:dyDescent="0.3">
      <c r="A124" s="957"/>
      <c r="B124" s="42"/>
      <c r="C124" s="955"/>
      <c r="D124" s="41"/>
      <c r="E124" s="684"/>
      <c r="F124" s="684"/>
      <c r="G124" s="37"/>
      <c r="H124" s="684"/>
      <c r="I124" s="684"/>
      <c r="J124" s="37"/>
      <c r="K124" s="1055"/>
      <c r="L124" s="684"/>
      <c r="M124" s="684"/>
      <c r="N124" s="1095">
        <f t="shared" si="40"/>
        <v>0</v>
      </c>
      <c r="O124" s="940"/>
      <c r="P124" s="874"/>
      <c r="Q124" s="494"/>
      <c r="R124" s="764"/>
      <c r="S124" s="769">
        <f t="shared" si="41"/>
        <v>0</v>
      </c>
      <c r="T124" s="870"/>
      <c r="U124" s="882"/>
      <c r="V124" s="870"/>
      <c r="W124" s="870"/>
      <c r="X124" s="870"/>
      <c r="Y124" s="870"/>
      <c r="Z124" s="870"/>
      <c r="AA124" s="870"/>
      <c r="AB124" s="870"/>
      <c r="AC124" s="870"/>
      <c r="AD124" s="870"/>
      <c r="AE124" s="870"/>
      <c r="AF124" s="870"/>
      <c r="AG124" s="870"/>
    </row>
    <row r="125" spans="1:33" ht="18.75" customHeight="1" x14ac:dyDescent="0.3">
      <c r="A125" s="957"/>
      <c r="B125" s="42"/>
      <c r="C125" s="955"/>
      <c r="D125" s="41"/>
      <c r="E125" s="684"/>
      <c r="F125" s="684"/>
      <c r="G125" s="37"/>
      <c r="H125" s="684"/>
      <c r="I125" s="684"/>
      <c r="J125" s="37"/>
      <c r="K125" s="1055"/>
      <c r="L125" s="684"/>
      <c r="M125" s="684"/>
      <c r="N125" s="1095">
        <f t="shared" si="40"/>
        <v>0</v>
      </c>
      <c r="O125" s="937"/>
      <c r="P125" s="876"/>
      <c r="Q125" s="494"/>
      <c r="R125" s="764"/>
      <c r="S125" s="769">
        <f t="shared" si="41"/>
        <v>0</v>
      </c>
      <c r="T125" s="870"/>
      <c r="U125" s="882"/>
      <c r="V125" s="870"/>
      <c r="W125" s="870"/>
      <c r="X125" s="870"/>
      <c r="Y125" s="870"/>
      <c r="Z125" s="870"/>
      <c r="AA125" s="870"/>
      <c r="AB125" s="870"/>
      <c r="AC125" s="870"/>
      <c r="AD125" s="870"/>
      <c r="AE125" s="870"/>
      <c r="AF125" s="870"/>
      <c r="AG125" s="870"/>
    </row>
    <row r="126" spans="1:33" ht="18.75" customHeight="1" x14ac:dyDescent="0.3">
      <c r="A126" s="957"/>
      <c r="B126" s="42"/>
      <c r="C126" s="955"/>
      <c r="D126" s="41"/>
      <c r="E126" s="684"/>
      <c r="F126" s="684"/>
      <c r="G126" s="37"/>
      <c r="H126" s="684"/>
      <c r="I126" s="684"/>
      <c r="J126" s="37"/>
      <c r="K126" s="1055"/>
      <c r="L126" s="684"/>
      <c r="M126" s="684"/>
      <c r="N126" s="1095">
        <f t="shared" si="40"/>
        <v>0</v>
      </c>
      <c r="O126" s="940"/>
      <c r="P126" s="874"/>
      <c r="Q126" s="494"/>
      <c r="R126" s="764"/>
      <c r="S126" s="769">
        <f t="shared" si="41"/>
        <v>0</v>
      </c>
      <c r="T126" s="870"/>
      <c r="U126" s="882"/>
      <c r="V126" s="870"/>
      <c r="W126" s="870"/>
      <c r="X126" s="870"/>
      <c r="Y126" s="870"/>
      <c r="Z126" s="870"/>
      <c r="AA126" s="870"/>
      <c r="AB126" s="870"/>
      <c r="AC126" s="870"/>
      <c r="AD126" s="870"/>
      <c r="AE126" s="870"/>
      <c r="AF126" s="870"/>
      <c r="AG126" s="870"/>
    </row>
    <row r="127" spans="1:33" ht="18.75" customHeight="1" x14ac:dyDescent="0.3">
      <c r="A127" s="957"/>
      <c r="B127" s="42"/>
      <c r="C127" s="955"/>
      <c r="D127" s="41"/>
      <c r="E127" s="684"/>
      <c r="F127" s="684"/>
      <c r="G127" s="37"/>
      <c r="H127" s="684"/>
      <c r="I127" s="684"/>
      <c r="J127" s="37"/>
      <c r="K127" s="1055"/>
      <c r="L127" s="684"/>
      <c r="M127" s="684"/>
      <c r="N127" s="1095">
        <f t="shared" si="40"/>
        <v>0</v>
      </c>
      <c r="O127" s="940"/>
      <c r="P127" s="874"/>
      <c r="Q127" s="494"/>
      <c r="R127" s="764"/>
      <c r="S127" s="769">
        <f t="shared" si="41"/>
        <v>0</v>
      </c>
      <c r="T127" s="870"/>
      <c r="U127" s="882"/>
      <c r="V127" s="870"/>
      <c r="W127" s="870"/>
      <c r="X127" s="870"/>
      <c r="Y127" s="870"/>
      <c r="Z127" s="870"/>
      <c r="AA127" s="870"/>
      <c r="AB127" s="870"/>
      <c r="AC127" s="870"/>
      <c r="AD127" s="870"/>
      <c r="AE127" s="870"/>
      <c r="AF127" s="870"/>
      <c r="AG127" s="870"/>
    </row>
    <row r="128" spans="1:33" ht="18.75" customHeight="1" x14ac:dyDescent="0.3">
      <c r="A128" s="957"/>
      <c r="B128" s="42"/>
      <c r="C128" s="955"/>
      <c r="D128" s="41"/>
      <c r="E128" s="684"/>
      <c r="F128" s="684"/>
      <c r="G128" s="37"/>
      <c r="H128" s="684"/>
      <c r="I128" s="684"/>
      <c r="J128" s="37"/>
      <c r="K128" s="1055"/>
      <c r="L128" s="684"/>
      <c r="M128" s="684"/>
      <c r="N128" s="1095">
        <f t="shared" si="40"/>
        <v>0</v>
      </c>
      <c r="O128" s="937"/>
      <c r="P128" s="42"/>
      <c r="Q128" s="494"/>
      <c r="R128" s="764"/>
      <c r="S128" s="769">
        <f t="shared" si="41"/>
        <v>0</v>
      </c>
      <c r="T128" s="870"/>
      <c r="U128" s="882"/>
      <c r="V128" s="883"/>
      <c r="W128" s="883"/>
      <c r="X128" s="883"/>
      <c r="Y128" s="883"/>
      <c r="Z128" s="883"/>
      <c r="AA128" s="883"/>
      <c r="AB128" s="883"/>
      <c r="AC128" s="883"/>
      <c r="AD128" s="883"/>
      <c r="AE128" s="883"/>
      <c r="AF128" s="883"/>
      <c r="AG128" s="883"/>
    </row>
    <row r="129" spans="1:33" ht="18.75" customHeight="1" x14ac:dyDescent="0.3">
      <c r="A129" s="742"/>
      <c r="B129" s="482"/>
      <c r="C129" s="482"/>
      <c r="D129" s="149" t="s">
        <v>245</v>
      </c>
      <c r="E129" s="150">
        <f t="shared" ref="E129:M129" si="42">SUM(E118:E128)</f>
        <v>0</v>
      </c>
      <c r="F129" s="150">
        <f t="shared" si="42"/>
        <v>0</v>
      </c>
      <c r="G129" s="150">
        <f t="shared" si="42"/>
        <v>0</v>
      </c>
      <c r="H129" s="150">
        <f t="shared" si="42"/>
        <v>0</v>
      </c>
      <c r="I129" s="150">
        <f t="shared" si="42"/>
        <v>0</v>
      </c>
      <c r="J129" s="150">
        <f t="shared" si="42"/>
        <v>0</v>
      </c>
      <c r="K129" s="150">
        <f t="shared" si="42"/>
        <v>0</v>
      </c>
      <c r="L129" s="150">
        <f t="shared" si="42"/>
        <v>0</v>
      </c>
      <c r="M129" s="150">
        <f t="shared" si="42"/>
        <v>0</v>
      </c>
      <c r="N129" s="483">
        <f t="shared" si="32"/>
        <v>0</v>
      </c>
      <c r="O129" s="937"/>
      <c r="P129" s="42"/>
      <c r="Q129" s="494"/>
      <c r="R129" s="764"/>
      <c r="S129" s="769">
        <f t="shared" si="41"/>
        <v>0</v>
      </c>
      <c r="T129" s="55"/>
      <c r="U129" s="395"/>
      <c r="V129" s="37"/>
      <c r="W129" s="37"/>
      <c r="X129" s="37"/>
      <c r="Y129" s="476"/>
      <c r="Z129" s="476"/>
      <c r="AA129" s="476"/>
      <c r="AB129" s="476"/>
      <c r="AC129" s="476"/>
      <c r="AD129" s="476"/>
      <c r="AE129" s="476"/>
      <c r="AF129" s="476"/>
      <c r="AG129" s="476"/>
    </row>
    <row r="130" spans="1:33" ht="18.75" customHeight="1" x14ac:dyDescent="0.3">
      <c r="A130" s="742"/>
      <c r="B130" s="482"/>
      <c r="C130" s="482"/>
      <c r="D130" s="149" t="s">
        <v>246</v>
      </c>
      <c r="E130" s="150">
        <f t="shared" ref="E130:M130" si="43">SUM(E116+E129)</f>
        <v>1908667.52</v>
      </c>
      <c r="F130" s="150">
        <f t="shared" si="43"/>
        <v>10748.869999999999</v>
      </c>
      <c r="G130" s="150">
        <f t="shared" si="43"/>
        <v>26880.09</v>
      </c>
      <c r="H130" s="150">
        <f t="shared" si="43"/>
        <v>94447</v>
      </c>
      <c r="I130" s="150">
        <f t="shared" si="43"/>
        <v>0</v>
      </c>
      <c r="J130" s="150">
        <f t="shared" si="43"/>
        <v>26438.639999999999</v>
      </c>
      <c r="K130" s="150">
        <f t="shared" si="43"/>
        <v>64200</v>
      </c>
      <c r="L130" s="150">
        <f t="shared" si="43"/>
        <v>1449950</v>
      </c>
      <c r="M130" s="150">
        <f t="shared" si="43"/>
        <v>1145328</v>
      </c>
      <c r="N130" s="483">
        <f t="shared" si="32"/>
        <v>4726660.12</v>
      </c>
      <c r="O130" s="937"/>
      <c r="P130" s="42"/>
      <c r="Q130" s="494"/>
      <c r="R130" s="764"/>
      <c r="S130" s="769">
        <f t="shared" si="41"/>
        <v>4726660.12</v>
      </c>
      <c r="T130" s="55"/>
      <c r="U130" s="395"/>
      <c r="V130" s="37"/>
      <c r="W130" s="37"/>
      <c r="X130" s="37"/>
      <c r="Y130" s="476"/>
      <c r="Z130" s="476"/>
      <c r="AA130" s="476"/>
      <c r="AB130" s="476"/>
      <c r="AC130" s="476"/>
      <c r="AD130" s="476"/>
      <c r="AE130" s="476"/>
      <c r="AF130" s="476"/>
      <c r="AG130" s="476"/>
    </row>
    <row r="131" spans="1:33" ht="18.75" customHeight="1" x14ac:dyDescent="0.3">
      <c r="A131" s="743"/>
      <c r="B131" s="484"/>
      <c r="C131" s="484"/>
      <c r="D131" s="152" t="s">
        <v>247</v>
      </c>
      <c r="E131" s="153">
        <f t="shared" ref="E131:M131" si="44">SUM(E117-E129)</f>
        <v>2750832.48</v>
      </c>
      <c r="F131" s="153">
        <f t="shared" si="44"/>
        <v>109051.13</v>
      </c>
      <c r="G131" s="153">
        <f t="shared" si="44"/>
        <v>13119.91</v>
      </c>
      <c r="H131" s="153">
        <f t="shared" si="44"/>
        <v>153853</v>
      </c>
      <c r="I131" s="153">
        <f t="shared" si="44"/>
        <v>1200000</v>
      </c>
      <c r="J131" s="153">
        <f t="shared" si="44"/>
        <v>73561.359999999986</v>
      </c>
      <c r="K131" s="153">
        <f t="shared" si="44"/>
        <v>200000</v>
      </c>
      <c r="L131" s="153">
        <f t="shared" si="44"/>
        <v>145850</v>
      </c>
      <c r="M131" s="153">
        <f t="shared" si="44"/>
        <v>-45328</v>
      </c>
      <c r="N131" s="485">
        <f t="shared" si="32"/>
        <v>4600939.88</v>
      </c>
      <c r="O131" s="937"/>
      <c r="P131" s="42"/>
      <c r="Q131" s="494"/>
      <c r="R131" s="764"/>
      <c r="S131" s="769">
        <f t="shared" si="41"/>
        <v>4600939.88</v>
      </c>
      <c r="T131" s="55"/>
      <c r="U131" s="395"/>
      <c r="V131" s="37"/>
      <c r="W131" s="37"/>
      <c r="X131" s="37"/>
      <c r="Y131" s="476"/>
      <c r="Z131" s="476"/>
      <c r="AA131" s="476"/>
      <c r="AB131" s="476"/>
      <c r="AC131" s="476"/>
      <c r="AD131" s="476"/>
      <c r="AE131" s="476"/>
      <c r="AF131" s="476"/>
      <c r="AG131" s="476"/>
    </row>
    <row r="132" spans="1:33" ht="18.75" customHeight="1" x14ac:dyDescent="0.3">
      <c r="A132" s="1035" t="s">
        <v>248</v>
      </c>
      <c r="B132" s="42"/>
      <c r="C132" s="955"/>
      <c r="D132" s="41"/>
      <c r="E132" s="684"/>
      <c r="F132" s="684"/>
      <c r="G132" s="37"/>
      <c r="H132" s="684"/>
      <c r="I132" s="684"/>
      <c r="J132" s="37"/>
      <c r="K132" s="1055"/>
      <c r="L132" s="684"/>
      <c r="M132" s="684"/>
      <c r="N132" s="1095">
        <f t="shared" si="32"/>
        <v>0</v>
      </c>
      <c r="O132" s="937"/>
      <c r="P132" s="42"/>
      <c r="Q132" s="494"/>
      <c r="R132" s="764"/>
      <c r="S132" s="769">
        <f t="shared" si="41"/>
        <v>0</v>
      </c>
      <c r="T132" s="37"/>
      <c r="U132" s="395"/>
      <c r="V132" s="37"/>
      <c r="W132" s="37"/>
      <c r="X132" s="37"/>
      <c r="Y132" s="476"/>
      <c r="Z132" s="476"/>
      <c r="AA132" s="476"/>
      <c r="AB132" s="476"/>
      <c r="AC132" s="476"/>
      <c r="AD132" s="476"/>
      <c r="AE132" s="476"/>
      <c r="AF132" s="476"/>
      <c r="AG132" s="476"/>
    </row>
    <row r="133" spans="1:33" ht="18.75" x14ac:dyDescent="0.3">
      <c r="A133" s="957"/>
      <c r="B133" s="876"/>
      <c r="C133" s="840"/>
      <c r="D133" s="34"/>
      <c r="E133" s="684"/>
      <c r="F133" s="684"/>
      <c r="G133" s="37"/>
      <c r="H133" s="684"/>
      <c r="I133" s="684"/>
      <c r="J133" s="37"/>
      <c r="K133" s="1055"/>
      <c r="L133" s="684"/>
      <c r="M133" s="684"/>
      <c r="N133" s="1095">
        <f t="shared" ref="N133:N142" si="45">SUM(E133:M133)</f>
        <v>0</v>
      </c>
      <c r="O133" s="937"/>
      <c r="P133" s="42"/>
      <c r="Q133" s="494"/>
      <c r="R133" s="764"/>
      <c r="S133" s="769">
        <f>N133-Q133-R133</f>
        <v>0</v>
      </c>
      <c r="T133" s="870"/>
      <c r="U133" s="886"/>
      <c r="V133" s="886"/>
      <c r="W133" s="886"/>
      <c r="X133" s="870"/>
      <c r="Y133" s="870"/>
      <c r="Z133" s="870"/>
      <c r="AA133" s="870"/>
      <c r="AB133" s="870"/>
      <c r="AC133" s="870"/>
      <c r="AD133" s="870"/>
      <c r="AE133" s="870"/>
      <c r="AF133" s="870"/>
      <c r="AG133" s="870"/>
    </row>
    <row r="134" spans="1:33" ht="18.75" x14ac:dyDescent="0.3">
      <c r="A134" s="957"/>
      <c r="B134" s="876"/>
      <c r="C134" s="840"/>
      <c r="D134" s="34"/>
      <c r="E134" s="684"/>
      <c r="F134" s="684"/>
      <c r="G134" s="37"/>
      <c r="H134" s="684"/>
      <c r="I134" s="684"/>
      <c r="J134" s="37"/>
      <c r="K134" s="1055"/>
      <c r="L134" s="684"/>
      <c r="M134" s="684"/>
      <c r="N134" s="1095">
        <f t="shared" si="45"/>
        <v>0</v>
      </c>
      <c r="O134" s="937"/>
      <c r="P134" s="42"/>
      <c r="Q134" s="494"/>
      <c r="R134" s="764"/>
      <c r="S134" s="769">
        <f t="shared" ref="S134:S146" si="46">N134-Q134-R134</f>
        <v>0</v>
      </c>
      <c r="T134" s="870"/>
      <c r="U134" s="910"/>
      <c r="V134" s="886"/>
      <c r="W134" s="886"/>
      <c r="X134" s="870"/>
      <c r="Y134" s="870"/>
      <c r="Z134" s="870"/>
      <c r="AA134" s="870"/>
      <c r="AB134" s="870"/>
      <c r="AC134" s="870"/>
      <c r="AD134" s="870"/>
      <c r="AE134" s="870"/>
      <c r="AF134" s="870"/>
      <c r="AG134" s="870"/>
    </row>
    <row r="135" spans="1:33" ht="18.75" customHeight="1" x14ac:dyDescent="0.3">
      <c r="A135" s="957"/>
      <c r="B135" s="42"/>
      <c r="C135" s="840"/>
      <c r="D135" s="34"/>
      <c r="E135" s="684"/>
      <c r="F135" s="684"/>
      <c r="G135" s="37"/>
      <c r="H135" s="684"/>
      <c r="I135" s="684"/>
      <c r="J135" s="37"/>
      <c r="K135" s="1055"/>
      <c r="L135" s="684"/>
      <c r="M135" s="684"/>
      <c r="N135" s="1095">
        <f t="shared" si="45"/>
        <v>0</v>
      </c>
      <c r="O135" s="937"/>
      <c r="P135" s="65"/>
      <c r="Q135" s="494"/>
      <c r="R135" s="764"/>
      <c r="S135" s="769">
        <f t="shared" si="46"/>
        <v>0</v>
      </c>
      <c r="T135" s="870"/>
      <c r="U135" s="882"/>
      <c r="V135" s="870"/>
      <c r="W135" s="870"/>
      <c r="X135" s="870"/>
      <c r="Y135" s="870"/>
      <c r="Z135" s="870"/>
      <c r="AA135" s="870"/>
      <c r="AB135" s="870"/>
      <c r="AC135" s="870"/>
      <c r="AD135" s="870"/>
      <c r="AE135" s="870"/>
      <c r="AF135" s="870"/>
      <c r="AG135" s="870"/>
    </row>
    <row r="136" spans="1:33" ht="18.75" customHeight="1" x14ac:dyDescent="0.3">
      <c r="A136" s="957"/>
      <c r="B136" s="42"/>
      <c r="C136" s="955"/>
      <c r="D136" s="34"/>
      <c r="E136" s="684"/>
      <c r="F136" s="684"/>
      <c r="G136" s="37"/>
      <c r="H136" s="684"/>
      <c r="I136" s="684"/>
      <c r="J136" s="37"/>
      <c r="K136" s="1055"/>
      <c r="L136" s="684"/>
      <c r="M136" s="684"/>
      <c r="N136" s="1095">
        <f t="shared" si="45"/>
        <v>0</v>
      </c>
      <c r="O136" s="940"/>
      <c r="P136" s="874"/>
      <c r="Q136" s="875"/>
      <c r="R136" s="764"/>
      <c r="S136" s="769">
        <f t="shared" si="46"/>
        <v>0</v>
      </c>
      <c r="T136" s="870"/>
      <c r="U136" s="882"/>
      <c r="V136" s="870"/>
      <c r="W136" s="870"/>
      <c r="X136" s="870"/>
      <c r="Y136" s="870"/>
      <c r="Z136" s="870"/>
      <c r="AA136" s="870"/>
      <c r="AB136" s="870"/>
      <c r="AC136" s="870"/>
      <c r="AD136" s="870"/>
      <c r="AE136" s="870"/>
      <c r="AF136" s="870"/>
      <c r="AG136" s="870"/>
    </row>
    <row r="137" spans="1:33" ht="18.75" customHeight="1" x14ac:dyDescent="0.3">
      <c r="A137" s="957"/>
      <c r="B137" s="42"/>
      <c r="C137" s="955"/>
      <c r="D137" s="41"/>
      <c r="E137" s="684"/>
      <c r="F137" s="684"/>
      <c r="G137" s="37"/>
      <c r="H137" s="684"/>
      <c r="I137" s="684"/>
      <c r="J137" s="37"/>
      <c r="K137" s="1055"/>
      <c r="L137" s="684"/>
      <c r="M137" s="684"/>
      <c r="N137" s="1095">
        <f t="shared" si="45"/>
        <v>0</v>
      </c>
      <c r="O137" s="940"/>
      <c r="P137" s="874"/>
      <c r="Q137" s="494"/>
      <c r="R137" s="764"/>
      <c r="S137" s="769">
        <f t="shared" si="46"/>
        <v>0</v>
      </c>
      <c r="T137" s="870"/>
      <c r="U137" s="882"/>
      <c r="V137" s="870"/>
      <c r="W137" s="870"/>
      <c r="X137" s="870"/>
      <c r="Y137" s="870"/>
      <c r="Z137" s="870"/>
      <c r="AA137" s="870"/>
      <c r="AB137" s="870"/>
      <c r="AC137" s="870"/>
      <c r="AD137" s="870"/>
      <c r="AE137" s="870"/>
      <c r="AF137" s="870"/>
      <c r="AG137" s="870"/>
    </row>
    <row r="138" spans="1:33" ht="18.75" customHeight="1" x14ac:dyDescent="0.3">
      <c r="A138" s="957"/>
      <c r="B138" s="42"/>
      <c r="C138" s="955"/>
      <c r="D138" s="41"/>
      <c r="E138" s="684"/>
      <c r="F138" s="684"/>
      <c r="G138" s="37"/>
      <c r="H138" s="684"/>
      <c r="I138" s="684"/>
      <c r="J138" s="37"/>
      <c r="K138" s="1055"/>
      <c r="L138" s="684"/>
      <c r="M138" s="684"/>
      <c r="N138" s="1095">
        <f t="shared" si="45"/>
        <v>0</v>
      </c>
      <c r="O138" s="940"/>
      <c r="P138" s="874"/>
      <c r="Q138" s="494"/>
      <c r="R138" s="764"/>
      <c r="S138" s="769">
        <f t="shared" si="46"/>
        <v>0</v>
      </c>
      <c r="T138" s="870"/>
      <c r="U138" s="882"/>
      <c r="V138" s="870"/>
      <c r="W138" s="870"/>
      <c r="X138" s="870"/>
      <c r="Y138" s="870"/>
      <c r="Z138" s="870"/>
      <c r="AA138" s="870"/>
      <c r="AB138" s="870"/>
      <c r="AC138" s="870"/>
      <c r="AD138" s="870"/>
      <c r="AE138" s="870"/>
      <c r="AF138" s="870"/>
      <c r="AG138" s="870"/>
    </row>
    <row r="139" spans="1:33" ht="18.75" customHeight="1" x14ac:dyDescent="0.3">
      <c r="A139" s="957"/>
      <c r="B139" s="42"/>
      <c r="C139" s="955"/>
      <c r="D139" s="41"/>
      <c r="E139" s="684"/>
      <c r="F139" s="684"/>
      <c r="G139" s="37"/>
      <c r="H139" s="684"/>
      <c r="I139" s="684"/>
      <c r="J139" s="37"/>
      <c r="K139" s="1055"/>
      <c r="L139" s="684"/>
      <c r="M139" s="684"/>
      <c r="N139" s="1095">
        <f t="shared" si="45"/>
        <v>0</v>
      </c>
      <c r="O139" s="937"/>
      <c r="P139" s="876"/>
      <c r="Q139" s="494"/>
      <c r="R139" s="764"/>
      <c r="S139" s="769">
        <f t="shared" si="46"/>
        <v>0</v>
      </c>
      <c r="T139" s="870"/>
      <c r="U139" s="882"/>
      <c r="V139" s="870"/>
      <c r="W139" s="870"/>
      <c r="X139" s="870"/>
      <c r="Y139" s="870"/>
      <c r="Z139" s="870"/>
      <c r="AA139" s="870"/>
      <c r="AB139" s="870"/>
      <c r="AC139" s="870"/>
      <c r="AD139" s="870"/>
      <c r="AE139" s="870"/>
      <c r="AF139" s="870"/>
      <c r="AG139" s="870"/>
    </row>
    <row r="140" spans="1:33" ht="18.75" customHeight="1" x14ac:dyDescent="0.3">
      <c r="A140" s="957"/>
      <c r="B140" s="42"/>
      <c r="C140" s="955"/>
      <c r="D140" s="41"/>
      <c r="E140" s="684"/>
      <c r="F140" s="684"/>
      <c r="G140" s="37"/>
      <c r="H140" s="684"/>
      <c r="I140" s="684"/>
      <c r="J140" s="37"/>
      <c r="K140" s="1055"/>
      <c r="L140" s="684"/>
      <c r="M140" s="684"/>
      <c r="N140" s="1095">
        <f t="shared" si="45"/>
        <v>0</v>
      </c>
      <c r="O140" s="940"/>
      <c r="P140" s="874"/>
      <c r="Q140" s="494"/>
      <c r="R140" s="764"/>
      <c r="S140" s="769">
        <f t="shared" si="46"/>
        <v>0</v>
      </c>
      <c r="T140" s="870"/>
      <c r="U140" s="882"/>
      <c r="V140" s="870"/>
      <c r="W140" s="870"/>
      <c r="X140" s="870"/>
      <c r="Y140" s="870"/>
      <c r="Z140" s="870"/>
      <c r="AA140" s="870"/>
      <c r="AB140" s="870"/>
      <c r="AC140" s="870"/>
      <c r="AD140" s="870"/>
      <c r="AE140" s="870"/>
      <c r="AF140" s="870"/>
      <c r="AG140" s="870"/>
    </row>
    <row r="141" spans="1:33" ht="18.75" customHeight="1" x14ac:dyDescent="0.3">
      <c r="A141" s="957"/>
      <c r="B141" s="42"/>
      <c r="C141" s="955"/>
      <c r="D141" s="41"/>
      <c r="E141" s="684"/>
      <c r="F141" s="684"/>
      <c r="G141" s="37"/>
      <c r="H141" s="684"/>
      <c r="I141" s="684"/>
      <c r="J141" s="37"/>
      <c r="K141" s="1055"/>
      <c r="L141" s="684"/>
      <c r="M141" s="684"/>
      <c r="N141" s="1095">
        <f t="shared" si="45"/>
        <v>0</v>
      </c>
      <c r="O141" s="940"/>
      <c r="P141" s="874"/>
      <c r="Q141" s="494"/>
      <c r="R141" s="764"/>
      <c r="S141" s="769">
        <f t="shared" si="46"/>
        <v>0</v>
      </c>
      <c r="T141" s="870"/>
      <c r="U141" s="882"/>
      <c r="V141" s="870"/>
      <c r="W141" s="870"/>
      <c r="X141" s="870"/>
      <c r="Y141" s="870"/>
      <c r="Z141" s="870"/>
      <c r="AA141" s="870"/>
      <c r="AB141" s="870"/>
      <c r="AC141" s="870"/>
      <c r="AD141" s="870"/>
      <c r="AE141" s="870"/>
      <c r="AF141" s="870"/>
      <c r="AG141" s="870"/>
    </row>
    <row r="142" spans="1:33" ht="18.75" customHeight="1" x14ac:dyDescent="0.3">
      <c r="A142" s="957"/>
      <c r="B142" s="42"/>
      <c r="C142" s="955"/>
      <c r="D142" s="41"/>
      <c r="E142" s="684"/>
      <c r="F142" s="684"/>
      <c r="G142" s="37"/>
      <c r="H142" s="684"/>
      <c r="I142" s="684"/>
      <c r="J142" s="37"/>
      <c r="K142" s="1055"/>
      <c r="L142" s="684"/>
      <c r="M142" s="684"/>
      <c r="N142" s="1095">
        <f t="shared" si="45"/>
        <v>0</v>
      </c>
      <c r="O142" s="937"/>
      <c r="P142" s="42"/>
      <c r="Q142" s="494"/>
      <c r="R142" s="764"/>
      <c r="S142" s="769">
        <f t="shared" si="46"/>
        <v>0</v>
      </c>
      <c r="T142" s="870"/>
      <c r="U142" s="882"/>
      <c r="V142" s="883"/>
      <c r="W142" s="883"/>
      <c r="X142" s="883"/>
      <c r="Y142" s="883"/>
      <c r="Z142" s="883"/>
      <c r="AA142" s="883"/>
      <c r="AB142" s="883"/>
      <c r="AC142" s="883"/>
      <c r="AD142" s="883"/>
      <c r="AE142" s="883"/>
      <c r="AF142" s="883"/>
      <c r="AG142" s="883"/>
    </row>
    <row r="143" spans="1:33" ht="18.75" customHeight="1" x14ac:dyDescent="0.3">
      <c r="A143" s="742"/>
      <c r="B143" s="482"/>
      <c r="C143" s="482"/>
      <c r="D143" s="149" t="s">
        <v>249</v>
      </c>
      <c r="E143" s="150">
        <f t="shared" ref="E143:M143" si="47">SUM(E132:E142)</f>
        <v>0</v>
      </c>
      <c r="F143" s="150">
        <f t="shared" si="47"/>
        <v>0</v>
      </c>
      <c r="G143" s="150">
        <f t="shared" si="47"/>
        <v>0</v>
      </c>
      <c r="H143" s="150">
        <f t="shared" si="47"/>
        <v>0</v>
      </c>
      <c r="I143" s="150">
        <f t="shared" si="47"/>
        <v>0</v>
      </c>
      <c r="J143" s="150">
        <f t="shared" si="47"/>
        <v>0</v>
      </c>
      <c r="K143" s="492">
        <f t="shared" si="47"/>
        <v>0</v>
      </c>
      <c r="L143" s="150">
        <f t="shared" si="47"/>
        <v>0</v>
      </c>
      <c r="M143" s="150">
        <f t="shared" si="47"/>
        <v>0</v>
      </c>
      <c r="N143" s="483">
        <f t="shared" ref="N143:N160" si="48">SUM(E143:M143)</f>
        <v>0</v>
      </c>
      <c r="O143" s="937"/>
      <c r="P143" s="42"/>
      <c r="Q143" s="494"/>
      <c r="R143" s="764"/>
      <c r="S143" s="769">
        <f t="shared" si="46"/>
        <v>0</v>
      </c>
      <c r="T143" s="55"/>
      <c r="U143" s="395"/>
      <c r="V143" s="37"/>
      <c r="W143" s="37"/>
      <c r="X143" s="37"/>
      <c r="Y143" s="476"/>
      <c r="Z143" s="476"/>
      <c r="AA143" s="476"/>
      <c r="AB143" s="476"/>
      <c r="AC143" s="476"/>
      <c r="AD143" s="476"/>
      <c r="AE143" s="476"/>
      <c r="AF143" s="476"/>
      <c r="AG143" s="476"/>
    </row>
    <row r="144" spans="1:33" ht="18.75" customHeight="1" x14ac:dyDescent="0.3">
      <c r="A144" s="742"/>
      <c r="B144" s="482"/>
      <c r="C144" s="482"/>
      <c r="D144" s="149" t="s">
        <v>250</v>
      </c>
      <c r="E144" s="150">
        <f t="shared" ref="E144:M144" si="49">SUM(E130+E143)</f>
        <v>1908667.52</v>
      </c>
      <c r="F144" s="150">
        <f t="shared" si="49"/>
        <v>10748.869999999999</v>
      </c>
      <c r="G144" s="150">
        <f t="shared" si="49"/>
        <v>26880.09</v>
      </c>
      <c r="H144" s="150">
        <f t="shared" si="49"/>
        <v>94447</v>
      </c>
      <c r="I144" s="150">
        <f t="shared" si="49"/>
        <v>0</v>
      </c>
      <c r="J144" s="150">
        <f t="shared" si="49"/>
        <v>26438.639999999999</v>
      </c>
      <c r="K144" s="492">
        <f t="shared" si="49"/>
        <v>64200</v>
      </c>
      <c r="L144" s="150">
        <f t="shared" si="49"/>
        <v>1449950</v>
      </c>
      <c r="M144" s="150">
        <f t="shared" si="49"/>
        <v>1145328</v>
      </c>
      <c r="N144" s="483">
        <f t="shared" si="48"/>
        <v>4726660.12</v>
      </c>
      <c r="O144" s="937"/>
      <c r="P144" s="42"/>
      <c r="Q144" s="494"/>
      <c r="R144" s="764"/>
      <c r="S144" s="769">
        <f t="shared" si="46"/>
        <v>4726660.12</v>
      </c>
      <c r="T144" s="55"/>
      <c r="U144" s="395"/>
      <c r="V144" s="37"/>
      <c r="W144" s="37"/>
      <c r="X144" s="37"/>
      <c r="Y144" s="476"/>
      <c r="Z144" s="476"/>
      <c r="AA144" s="476"/>
      <c r="AB144" s="476"/>
      <c r="AC144" s="476"/>
      <c r="AD144" s="476"/>
      <c r="AE144" s="476"/>
      <c r="AF144" s="476"/>
      <c r="AG144" s="476"/>
    </row>
    <row r="145" spans="1:33" ht="18.75" customHeight="1" x14ac:dyDescent="0.3">
      <c r="A145" s="743"/>
      <c r="B145" s="484"/>
      <c r="C145" s="484"/>
      <c r="D145" s="152" t="s">
        <v>251</v>
      </c>
      <c r="E145" s="153">
        <f t="shared" ref="E145:M145" si="50">SUM(E131-E143)</f>
        <v>2750832.48</v>
      </c>
      <c r="F145" s="153">
        <f t="shared" si="50"/>
        <v>109051.13</v>
      </c>
      <c r="G145" s="153">
        <f t="shared" si="50"/>
        <v>13119.91</v>
      </c>
      <c r="H145" s="153">
        <f t="shared" si="50"/>
        <v>153853</v>
      </c>
      <c r="I145" s="153">
        <f t="shared" si="50"/>
        <v>1200000</v>
      </c>
      <c r="J145" s="153">
        <f t="shared" si="50"/>
        <v>73561.359999999986</v>
      </c>
      <c r="K145" s="493">
        <f t="shared" si="50"/>
        <v>200000</v>
      </c>
      <c r="L145" s="153">
        <f t="shared" si="50"/>
        <v>145850</v>
      </c>
      <c r="M145" s="153">
        <f t="shared" si="50"/>
        <v>-45328</v>
      </c>
      <c r="N145" s="485">
        <f t="shared" si="48"/>
        <v>4600939.88</v>
      </c>
      <c r="O145" s="937"/>
      <c r="P145" s="42"/>
      <c r="Q145" s="494"/>
      <c r="R145" s="764"/>
      <c r="S145" s="769">
        <f t="shared" si="46"/>
        <v>4600939.88</v>
      </c>
      <c r="T145" s="55"/>
      <c r="U145" s="395"/>
      <c r="V145" s="37"/>
      <c r="W145" s="37"/>
      <c r="X145" s="37"/>
      <c r="Y145" s="476"/>
      <c r="Z145" s="476"/>
      <c r="AA145" s="476"/>
      <c r="AB145" s="476"/>
      <c r="AC145" s="476"/>
      <c r="AD145" s="476"/>
      <c r="AE145" s="476"/>
      <c r="AF145" s="476"/>
      <c r="AG145" s="476"/>
    </row>
    <row r="146" spans="1:33" ht="18.75" customHeight="1" x14ac:dyDescent="0.3">
      <c r="A146" s="1035" t="s">
        <v>252</v>
      </c>
      <c r="B146" s="42"/>
      <c r="C146" s="955"/>
      <c r="D146" s="41"/>
      <c r="E146" s="684"/>
      <c r="F146" s="684"/>
      <c r="G146" s="37"/>
      <c r="H146" s="684"/>
      <c r="I146" s="684"/>
      <c r="J146" s="37"/>
      <c r="K146" s="1055"/>
      <c r="L146" s="684"/>
      <c r="M146" s="684"/>
      <c r="N146" s="1095">
        <f t="shared" si="48"/>
        <v>0</v>
      </c>
      <c r="O146" s="937"/>
      <c r="P146" s="42"/>
      <c r="Q146" s="494"/>
      <c r="R146" s="764"/>
      <c r="S146" s="769">
        <f t="shared" si="46"/>
        <v>0</v>
      </c>
      <c r="T146" s="37"/>
      <c r="U146" s="395"/>
      <c r="V146" s="37"/>
      <c r="W146" s="37"/>
      <c r="X146" s="37"/>
      <c r="Y146" s="476"/>
      <c r="Z146" s="476"/>
      <c r="AA146" s="476"/>
      <c r="AB146" s="476"/>
      <c r="AC146" s="476"/>
      <c r="AD146" s="476"/>
      <c r="AE146" s="476"/>
      <c r="AF146" s="476"/>
      <c r="AG146" s="476"/>
    </row>
    <row r="147" spans="1:33" ht="18.75" x14ac:dyDescent="0.3">
      <c r="A147" s="957"/>
      <c r="B147" s="876"/>
      <c r="C147" s="840"/>
      <c r="D147" s="34"/>
      <c r="E147" s="684"/>
      <c r="F147" s="684"/>
      <c r="G147" s="37"/>
      <c r="H147" s="684"/>
      <c r="I147" s="684"/>
      <c r="J147" s="37"/>
      <c r="K147" s="1055"/>
      <c r="L147" s="684"/>
      <c r="M147" s="684"/>
      <c r="N147" s="1095">
        <f t="shared" si="48"/>
        <v>0</v>
      </c>
      <c r="O147" s="937"/>
      <c r="P147" s="42"/>
      <c r="Q147" s="494"/>
      <c r="R147" s="764"/>
      <c r="S147" s="769">
        <f>N147-Q147-R147</f>
        <v>0</v>
      </c>
      <c r="T147" s="870"/>
      <c r="U147" s="886"/>
      <c r="V147" s="886"/>
      <c r="W147" s="886"/>
      <c r="X147" s="870"/>
      <c r="Y147" s="870"/>
      <c r="Z147" s="870"/>
      <c r="AA147" s="870"/>
      <c r="AB147" s="870"/>
      <c r="AC147" s="870"/>
      <c r="AD147" s="870"/>
      <c r="AE147" s="870"/>
      <c r="AF147" s="870"/>
      <c r="AG147" s="870"/>
    </row>
    <row r="148" spans="1:33" ht="18.75" x14ac:dyDescent="0.3">
      <c r="A148" s="957"/>
      <c r="B148" s="876"/>
      <c r="C148" s="840"/>
      <c r="D148" s="34"/>
      <c r="E148" s="684"/>
      <c r="F148" s="684"/>
      <c r="G148" s="37"/>
      <c r="H148" s="684"/>
      <c r="I148" s="684"/>
      <c r="J148" s="37"/>
      <c r="K148" s="1055"/>
      <c r="L148" s="684"/>
      <c r="M148" s="684"/>
      <c r="N148" s="1095">
        <f t="shared" si="48"/>
        <v>0</v>
      </c>
      <c r="O148" s="937"/>
      <c r="P148" s="42"/>
      <c r="Q148" s="494"/>
      <c r="R148" s="764"/>
      <c r="S148" s="769">
        <f t="shared" ref="S148:S160" si="51">N148-Q148-R148</f>
        <v>0</v>
      </c>
      <c r="T148" s="870"/>
      <c r="U148" s="910"/>
      <c r="V148" s="886"/>
      <c r="W148" s="886"/>
      <c r="X148" s="870"/>
      <c r="Y148" s="870"/>
      <c r="Z148" s="870"/>
      <c r="AA148" s="870"/>
      <c r="AB148" s="870"/>
      <c r="AC148" s="870"/>
      <c r="AD148" s="870"/>
      <c r="AE148" s="870"/>
      <c r="AF148" s="870"/>
      <c r="AG148" s="870"/>
    </row>
    <row r="149" spans="1:33" ht="18.75" customHeight="1" x14ac:dyDescent="0.3">
      <c r="A149" s="957"/>
      <c r="B149" s="42"/>
      <c r="C149" s="840"/>
      <c r="D149" s="34"/>
      <c r="E149" s="684"/>
      <c r="F149" s="684"/>
      <c r="G149" s="37"/>
      <c r="H149" s="684"/>
      <c r="I149" s="684"/>
      <c r="J149" s="37"/>
      <c r="K149" s="1055"/>
      <c r="L149" s="684"/>
      <c r="M149" s="684"/>
      <c r="N149" s="1095">
        <f t="shared" si="48"/>
        <v>0</v>
      </c>
      <c r="O149" s="937"/>
      <c r="P149" s="65"/>
      <c r="Q149" s="494"/>
      <c r="R149" s="764"/>
      <c r="S149" s="769">
        <f t="shared" si="51"/>
        <v>0</v>
      </c>
      <c r="T149" s="870"/>
      <c r="U149" s="882"/>
      <c r="V149" s="870"/>
      <c r="W149" s="870"/>
      <c r="X149" s="870"/>
      <c r="Y149" s="870"/>
      <c r="Z149" s="870"/>
      <c r="AA149" s="870"/>
      <c r="AB149" s="870"/>
      <c r="AC149" s="870"/>
      <c r="AD149" s="870"/>
      <c r="AE149" s="870"/>
      <c r="AF149" s="870"/>
      <c r="AG149" s="870"/>
    </row>
    <row r="150" spans="1:33" ht="18.75" customHeight="1" x14ac:dyDescent="0.3">
      <c r="A150" s="957"/>
      <c r="B150" s="42"/>
      <c r="C150" s="955"/>
      <c r="D150" s="34"/>
      <c r="E150" s="684"/>
      <c r="F150" s="684"/>
      <c r="G150" s="37"/>
      <c r="H150" s="684"/>
      <c r="I150" s="684"/>
      <c r="J150" s="37"/>
      <c r="K150" s="1055"/>
      <c r="L150" s="684"/>
      <c r="M150" s="684"/>
      <c r="N150" s="1095">
        <f t="shared" si="48"/>
        <v>0</v>
      </c>
      <c r="O150" s="940"/>
      <c r="P150" s="874"/>
      <c r="Q150" s="875"/>
      <c r="R150" s="764"/>
      <c r="S150" s="769">
        <f t="shared" si="51"/>
        <v>0</v>
      </c>
      <c r="T150" s="870"/>
      <c r="U150" s="882"/>
      <c r="V150" s="870"/>
      <c r="W150" s="870"/>
      <c r="X150" s="870"/>
      <c r="Y150" s="870"/>
      <c r="Z150" s="870"/>
      <c r="AA150" s="870"/>
      <c r="AB150" s="870"/>
      <c r="AC150" s="870"/>
      <c r="AD150" s="870"/>
      <c r="AE150" s="870"/>
      <c r="AF150" s="870"/>
      <c r="AG150" s="870"/>
    </row>
    <row r="151" spans="1:33" ht="18.75" customHeight="1" x14ac:dyDescent="0.3">
      <c r="A151" s="957"/>
      <c r="B151" s="42"/>
      <c r="C151" s="955"/>
      <c r="D151" s="41"/>
      <c r="E151" s="684"/>
      <c r="F151" s="684"/>
      <c r="G151" s="37"/>
      <c r="H151" s="684"/>
      <c r="I151" s="684"/>
      <c r="J151" s="37"/>
      <c r="K151" s="1055"/>
      <c r="L151" s="684"/>
      <c r="M151" s="684"/>
      <c r="N151" s="1095">
        <f t="shared" si="48"/>
        <v>0</v>
      </c>
      <c r="O151" s="940"/>
      <c r="P151" s="874"/>
      <c r="Q151" s="494"/>
      <c r="R151" s="764"/>
      <c r="S151" s="769">
        <f t="shared" si="51"/>
        <v>0</v>
      </c>
      <c r="T151" s="870"/>
      <c r="U151" s="882"/>
      <c r="V151" s="870"/>
      <c r="W151" s="870"/>
      <c r="X151" s="870"/>
      <c r="Y151" s="870"/>
      <c r="Z151" s="870"/>
      <c r="AA151" s="870"/>
      <c r="AB151" s="870"/>
      <c r="AC151" s="870"/>
      <c r="AD151" s="870"/>
      <c r="AE151" s="870"/>
      <c r="AF151" s="870"/>
      <c r="AG151" s="870"/>
    </row>
    <row r="152" spans="1:33" ht="18.75" customHeight="1" x14ac:dyDescent="0.3">
      <c r="A152" s="957"/>
      <c r="B152" s="42"/>
      <c r="C152" s="955"/>
      <c r="D152" s="41"/>
      <c r="E152" s="684"/>
      <c r="F152" s="684"/>
      <c r="G152" s="37"/>
      <c r="H152" s="684"/>
      <c r="I152" s="684"/>
      <c r="J152" s="37"/>
      <c r="K152" s="1055"/>
      <c r="L152" s="684"/>
      <c r="M152" s="684"/>
      <c r="N152" s="1095">
        <f t="shared" si="48"/>
        <v>0</v>
      </c>
      <c r="O152" s="940"/>
      <c r="P152" s="874"/>
      <c r="Q152" s="494"/>
      <c r="R152" s="764"/>
      <c r="S152" s="769">
        <f t="shared" si="51"/>
        <v>0</v>
      </c>
      <c r="T152" s="870"/>
      <c r="U152" s="882"/>
      <c r="V152" s="870"/>
      <c r="W152" s="870"/>
      <c r="X152" s="870"/>
      <c r="Y152" s="870"/>
      <c r="Z152" s="870"/>
      <c r="AA152" s="870"/>
      <c r="AB152" s="870"/>
      <c r="AC152" s="870"/>
      <c r="AD152" s="870"/>
      <c r="AE152" s="870"/>
      <c r="AF152" s="870"/>
      <c r="AG152" s="870"/>
    </row>
    <row r="153" spans="1:33" ht="18.75" customHeight="1" x14ac:dyDescent="0.3">
      <c r="A153" s="957"/>
      <c r="B153" s="42"/>
      <c r="C153" s="955"/>
      <c r="D153" s="41"/>
      <c r="E153" s="684"/>
      <c r="F153" s="684"/>
      <c r="G153" s="37"/>
      <c r="H153" s="684"/>
      <c r="I153" s="684"/>
      <c r="J153" s="37"/>
      <c r="K153" s="1055"/>
      <c r="L153" s="684"/>
      <c r="M153" s="684"/>
      <c r="N153" s="1095">
        <f t="shared" si="48"/>
        <v>0</v>
      </c>
      <c r="O153" s="937"/>
      <c r="P153" s="876"/>
      <c r="Q153" s="494"/>
      <c r="R153" s="764"/>
      <c r="S153" s="769">
        <f t="shared" si="51"/>
        <v>0</v>
      </c>
      <c r="T153" s="870"/>
      <c r="U153" s="882"/>
      <c r="V153" s="870"/>
      <c r="W153" s="870"/>
      <c r="X153" s="870"/>
      <c r="Y153" s="870"/>
      <c r="Z153" s="870"/>
      <c r="AA153" s="870"/>
      <c r="AB153" s="870"/>
      <c r="AC153" s="870"/>
      <c r="AD153" s="870"/>
      <c r="AE153" s="870"/>
      <c r="AF153" s="870"/>
      <c r="AG153" s="870"/>
    </row>
    <row r="154" spans="1:33" ht="18.75" customHeight="1" x14ac:dyDescent="0.3">
      <c r="A154" s="957"/>
      <c r="B154" s="42"/>
      <c r="C154" s="955"/>
      <c r="D154" s="41"/>
      <c r="E154" s="684"/>
      <c r="F154" s="684"/>
      <c r="G154" s="37"/>
      <c r="H154" s="684"/>
      <c r="I154" s="684"/>
      <c r="J154" s="37"/>
      <c r="K154" s="1055"/>
      <c r="L154" s="684"/>
      <c r="M154" s="684"/>
      <c r="N154" s="1095">
        <f t="shared" si="48"/>
        <v>0</v>
      </c>
      <c r="O154" s="940"/>
      <c r="P154" s="874"/>
      <c r="Q154" s="494"/>
      <c r="R154" s="764"/>
      <c r="S154" s="769">
        <f t="shared" si="51"/>
        <v>0</v>
      </c>
      <c r="T154" s="870"/>
      <c r="U154" s="882"/>
      <c r="V154" s="870"/>
      <c r="W154" s="870"/>
      <c r="X154" s="870"/>
      <c r="Y154" s="870"/>
      <c r="Z154" s="870"/>
      <c r="AA154" s="870"/>
      <c r="AB154" s="870"/>
      <c r="AC154" s="870"/>
      <c r="AD154" s="870"/>
      <c r="AE154" s="870"/>
      <c r="AF154" s="870"/>
      <c r="AG154" s="870"/>
    </row>
    <row r="155" spans="1:33" ht="18.75" customHeight="1" x14ac:dyDescent="0.3">
      <c r="A155" s="957"/>
      <c r="B155" s="42"/>
      <c r="C155" s="955"/>
      <c r="D155" s="41"/>
      <c r="E155" s="684"/>
      <c r="F155" s="684"/>
      <c r="G155" s="37"/>
      <c r="H155" s="684"/>
      <c r="I155" s="684"/>
      <c r="J155" s="37"/>
      <c r="K155" s="1055"/>
      <c r="L155" s="684"/>
      <c r="M155" s="684"/>
      <c r="N155" s="1095">
        <f t="shared" si="48"/>
        <v>0</v>
      </c>
      <c r="O155" s="940"/>
      <c r="P155" s="874"/>
      <c r="Q155" s="494"/>
      <c r="R155" s="764"/>
      <c r="S155" s="769">
        <f t="shared" si="51"/>
        <v>0</v>
      </c>
      <c r="T155" s="870"/>
      <c r="U155" s="882"/>
      <c r="V155" s="870"/>
      <c r="W155" s="870"/>
      <c r="X155" s="870"/>
      <c r="Y155" s="870"/>
      <c r="Z155" s="870"/>
      <c r="AA155" s="870"/>
      <c r="AB155" s="870"/>
      <c r="AC155" s="870"/>
      <c r="AD155" s="870"/>
      <c r="AE155" s="870"/>
      <c r="AF155" s="870"/>
      <c r="AG155" s="870"/>
    </row>
    <row r="156" spans="1:33" ht="18.75" customHeight="1" x14ac:dyDescent="0.3">
      <c r="A156" s="957"/>
      <c r="B156" s="42"/>
      <c r="C156" s="955"/>
      <c r="D156" s="41"/>
      <c r="E156" s="684"/>
      <c r="F156" s="684"/>
      <c r="G156" s="37"/>
      <c r="H156" s="684"/>
      <c r="I156" s="684"/>
      <c r="J156" s="37"/>
      <c r="K156" s="1055"/>
      <c r="L156" s="684"/>
      <c r="M156" s="684"/>
      <c r="N156" s="1095">
        <f t="shared" si="48"/>
        <v>0</v>
      </c>
      <c r="O156" s="937"/>
      <c r="P156" s="42"/>
      <c r="Q156" s="494"/>
      <c r="R156" s="764"/>
      <c r="S156" s="769">
        <f t="shared" si="51"/>
        <v>0</v>
      </c>
      <c r="T156" s="870"/>
      <c r="U156" s="882"/>
      <c r="V156" s="883"/>
      <c r="W156" s="883"/>
      <c r="X156" s="883"/>
      <c r="Y156" s="883"/>
      <c r="Z156" s="883"/>
      <c r="AA156" s="883"/>
      <c r="AB156" s="883"/>
      <c r="AC156" s="883"/>
      <c r="AD156" s="883"/>
      <c r="AE156" s="883"/>
      <c r="AF156" s="883"/>
      <c r="AG156" s="883"/>
    </row>
    <row r="157" spans="1:33" ht="18.75" customHeight="1" x14ac:dyDescent="0.3">
      <c r="A157" s="742"/>
      <c r="B157" s="482"/>
      <c r="C157" s="482"/>
      <c r="D157" s="149" t="s">
        <v>253</v>
      </c>
      <c r="E157" s="150">
        <f t="shared" ref="E157:M157" si="52">SUM(E146:E156)</f>
        <v>0</v>
      </c>
      <c r="F157" s="150">
        <f t="shared" si="52"/>
        <v>0</v>
      </c>
      <c r="G157" s="150">
        <f t="shared" si="52"/>
        <v>0</v>
      </c>
      <c r="H157" s="150">
        <f t="shared" si="52"/>
        <v>0</v>
      </c>
      <c r="I157" s="150">
        <f t="shared" si="52"/>
        <v>0</v>
      </c>
      <c r="J157" s="150">
        <f t="shared" si="52"/>
        <v>0</v>
      </c>
      <c r="K157" s="150">
        <f t="shared" si="52"/>
        <v>0</v>
      </c>
      <c r="L157" s="150">
        <f t="shared" si="52"/>
        <v>0</v>
      </c>
      <c r="M157" s="150">
        <f t="shared" si="52"/>
        <v>0</v>
      </c>
      <c r="N157" s="483">
        <f t="shared" si="48"/>
        <v>0</v>
      </c>
      <c r="O157" s="940"/>
      <c r="P157" s="874"/>
      <c r="Q157" s="494"/>
      <c r="R157" s="764"/>
      <c r="S157" s="769">
        <f t="shared" si="51"/>
        <v>0</v>
      </c>
      <c r="T157" s="55"/>
      <c r="U157" s="395"/>
      <c r="V157" s="37"/>
      <c r="W157" s="37"/>
      <c r="X157" s="37"/>
      <c r="Y157" s="476"/>
      <c r="Z157" s="476"/>
      <c r="AA157" s="476"/>
      <c r="AB157" s="476"/>
      <c r="AC157" s="476"/>
      <c r="AD157" s="476"/>
      <c r="AE157" s="476"/>
      <c r="AF157" s="476"/>
      <c r="AG157" s="476"/>
    </row>
    <row r="158" spans="1:33" ht="18.75" customHeight="1" x14ac:dyDescent="0.3">
      <c r="A158" s="742"/>
      <c r="B158" s="482"/>
      <c r="C158" s="482"/>
      <c r="D158" s="149" t="s">
        <v>254</v>
      </c>
      <c r="E158" s="150">
        <f t="shared" ref="E158:M158" si="53">SUM(E144+E157)</f>
        <v>1908667.52</v>
      </c>
      <c r="F158" s="150">
        <f t="shared" si="53"/>
        <v>10748.869999999999</v>
      </c>
      <c r="G158" s="150">
        <f t="shared" si="53"/>
        <v>26880.09</v>
      </c>
      <c r="H158" s="150">
        <f t="shared" si="53"/>
        <v>94447</v>
      </c>
      <c r="I158" s="150">
        <f t="shared" si="53"/>
        <v>0</v>
      </c>
      <c r="J158" s="150">
        <f t="shared" si="53"/>
        <v>26438.639999999999</v>
      </c>
      <c r="K158" s="150">
        <f t="shared" si="53"/>
        <v>64200</v>
      </c>
      <c r="L158" s="150">
        <f t="shared" si="53"/>
        <v>1449950</v>
      </c>
      <c r="M158" s="150">
        <f t="shared" si="53"/>
        <v>1145328</v>
      </c>
      <c r="N158" s="483">
        <f t="shared" si="48"/>
        <v>4726660.12</v>
      </c>
      <c r="O158" s="940"/>
      <c r="P158" s="874"/>
      <c r="Q158" s="494"/>
      <c r="R158" s="764"/>
      <c r="S158" s="769">
        <f t="shared" si="51"/>
        <v>4726660.12</v>
      </c>
      <c r="T158" s="55"/>
      <c r="U158" s="395"/>
      <c r="V158" s="37"/>
      <c r="W158" s="37"/>
      <c r="X158" s="37"/>
      <c r="Y158" s="476"/>
      <c r="Z158" s="476"/>
      <c r="AA158" s="476"/>
      <c r="AB158" s="476"/>
      <c r="AC158" s="476"/>
      <c r="AD158" s="476"/>
      <c r="AE158" s="476"/>
      <c r="AF158" s="476"/>
      <c r="AG158" s="476"/>
    </row>
    <row r="159" spans="1:33" ht="18.75" customHeight="1" x14ac:dyDescent="0.3">
      <c r="A159" s="743"/>
      <c r="B159" s="484"/>
      <c r="C159" s="484"/>
      <c r="D159" s="152" t="s">
        <v>255</v>
      </c>
      <c r="E159" s="153">
        <f t="shared" ref="E159:M159" si="54">SUM(E145-E157)</f>
        <v>2750832.48</v>
      </c>
      <c r="F159" s="153">
        <f t="shared" si="54"/>
        <v>109051.13</v>
      </c>
      <c r="G159" s="153">
        <f t="shared" si="54"/>
        <v>13119.91</v>
      </c>
      <c r="H159" s="153">
        <f t="shared" si="54"/>
        <v>153853</v>
      </c>
      <c r="I159" s="153">
        <f t="shared" si="54"/>
        <v>1200000</v>
      </c>
      <c r="J159" s="153">
        <f t="shared" si="54"/>
        <v>73561.359999999986</v>
      </c>
      <c r="K159" s="153">
        <f t="shared" si="54"/>
        <v>200000</v>
      </c>
      <c r="L159" s="153">
        <f t="shared" si="54"/>
        <v>145850</v>
      </c>
      <c r="M159" s="153">
        <f t="shared" si="54"/>
        <v>-45328</v>
      </c>
      <c r="N159" s="485">
        <f t="shared" si="48"/>
        <v>4600939.88</v>
      </c>
      <c r="O159" s="937"/>
      <c r="P159" s="42"/>
      <c r="Q159" s="494"/>
      <c r="R159" s="764"/>
      <c r="S159" s="769">
        <f t="shared" si="51"/>
        <v>4600939.88</v>
      </c>
      <c r="T159" s="55"/>
      <c r="U159" s="395"/>
      <c r="V159" s="37"/>
      <c r="W159" s="488"/>
      <c r="X159" s="488"/>
      <c r="Y159" s="489"/>
      <c r="Z159" s="489"/>
      <c r="AA159" s="489"/>
      <c r="AB159" s="489"/>
      <c r="AC159" s="489"/>
      <c r="AD159" s="489"/>
      <c r="AE159" s="489"/>
      <c r="AF159" s="489"/>
      <c r="AG159" s="489"/>
    </row>
    <row r="160" spans="1:33" ht="18.75" customHeight="1" x14ac:dyDescent="0.3">
      <c r="A160" s="1035" t="s">
        <v>256</v>
      </c>
      <c r="B160" s="42"/>
      <c r="C160" s="955"/>
      <c r="D160" s="41"/>
      <c r="E160" s="684"/>
      <c r="F160" s="684"/>
      <c r="G160" s="37"/>
      <c r="H160" s="684"/>
      <c r="I160" s="684"/>
      <c r="J160" s="37"/>
      <c r="K160" s="1055"/>
      <c r="L160" s="684"/>
      <c r="M160" s="684"/>
      <c r="N160" s="1095">
        <f t="shared" si="48"/>
        <v>0</v>
      </c>
      <c r="O160" s="937"/>
      <c r="P160" s="42"/>
      <c r="Q160" s="494"/>
      <c r="R160" s="764"/>
      <c r="S160" s="769">
        <f t="shared" si="51"/>
        <v>0</v>
      </c>
      <c r="T160" s="37"/>
      <c r="U160" s="395"/>
      <c r="V160" s="37"/>
      <c r="W160" s="37"/>
      <c r="X160" s="37"/>
      <c r="Y160" s="476"/>
      <c r="Z160" s="476"/>
      <c r="AA160" s="476"/>
      <c r="AB160" s="476"/>
      <c r="AC160" s="476"/>
      <c r="AD160" s="476"/>
      <c r="AE160" s="476"/>
      <c r="AF160" s="476"/>
      <c r="AG160" s="476"/>
    </row>
    <row r="161" spans="1:33" ht="18.75" x14ac:dyDescent="0.3">
      <c r="A161" s="957"/>
      <c r="B161" s="876"/>
      <c r="C161" s="840"/>
      <c r="D161" s="34"/>
      <c r="E161" s="684"/>
      <c r="F161" s="684"/>
      <c r="G161" s="37"/>
      <c r="H161" s="684"/>
      <c r="I161" s="684"/>
      <c r="J161" s="37"/>
      <c r="K161" s="1055"/>
      <c r="L161" s="684"/>
      <c r="M161" s="684"/>
      <c r="N161" s="1095">
        <f t="shared" ref="N161:N170" si="55">SUM(E161:M161)</f>
        <v>0</v>
      </c>
      <c r="O161" s="937"/>
      <c r="P161" s="42"/>
      <c r="Q161" s="494"/>
      <c r="R161" s="764"/>
      <c r="S161" s="769">
        <f>N161-Q161-R161</f>
        <v>0</v>
      </c>
      <c r="T161" s="870"/>
      <c r="U161" s="886"/>
      <c r="V161" s="886"/>
      <c r="W161" s="886"/>
      <c r="X161" s="870"/>
      <c r="Y161" s="870"/>
      <c r="Z161" s="870"/>
      <c r="AA161" s="870"/>
      <c r="AB161" s="870"/>
      <c r="AC161" s="870"/>
      <c r="AD161" s="870"/>
      <c r="AE161" s="870"/>
      <c r="AF161" s="870"/>
      <c r="AG161" s="870"/>
    </row>
    <row r="162" spans="1:33" ht="18.75" x14ac:dyDescent="0.3">
      <c r="A162" s="957"/>
      <c r="B162" s="876"/>
      <c r="C162" s="840"/>
      <c r="D162" s="34"/>
      <c r="E162" s="684"/>
      <c r="F162" s="684"/>
      <c r="G162" s="37"/>
      <c r="H162" s="684"/>
      <c r="I162" s="684"/>
      <c r="J162" s="37"/>
      <c r="K162" s="1055"/>
      <c r="L162" s="684"/>
      <c r="M162" s="684"/>
      <c r="N162" s="1095">
        <f t="shared" si="55"/>
        <v>0</v>
      </c>
      <c r="O162" s="937"/>
      <c r="P162" s="42"/>
      <c r="Q162" s="494"/>
      <c r="R162" s="764"/>
      <c r="S162" s="769">
        <f t="shared" ref="S162:S187" si="56">N162-Q162-R162</f>
        <v>0</v>
      </c>
      <c r="T162" s="870"/>
      <c r="U162" s="910"/>
      <c r="V162" s="886"/>
      <c r="W162" s="886"/>
      <c r="X162" s="870"/>
      <c r="Y162" s="870"/>
      <c r="Z162" s="870"/>
      <c r="AA162" s="870"/>
      <c r="AB162" s="870"/>
      <c r="AC162" s="870"/>
      <c r="AD162" s="870"/>
      <c r="AE162" s="870"/>
      <c r="AF162" s="870"/>
      <c r="AG162" s="870"/>
    </row>
    <row r="163" spans="1:33" ht="18.75" customHeight="1" x14ac:dyDescent="0.3">
      <c r="A163" s="957"/>
      <c r="B163" s="42"/>
      <c r="C163" s="840"/>
      <c r="D163" s="34"/>
      <c r="E163" s="684"/>
      <c r="F163" s="684"/>
      <c r="G163" s="37"/>
      <c r="H163" s="684"/>
      <c r="I163" s="684"/>
      <c r="J163" s="37"/>
      <c r="K163" s="1055"/>
      <c r="L163" s="684"/>
      <c r="M163" s="684"/>
      <c r="N163" s="1095">
        <f t="shared" si="55"/>
        <v>0</v>
      </c>
      <c r="O163" s="937"/>
      <c r="P163" s="65"/>
      <c r="Q163" s="494"/>
      <c r="R163" s="764"/>
      <c r="S163" s="769">
        <f t="shared" si="56"/>
        <v>0</v>
      </c>
      <c r="T163" s="870"/>
      <c r="U163" s="882"/>
      <c r="V163" s="870"/>
      <c r="W163" s="870"/>
      <c r="X163" s="870"/>
      <c r="Y163" s="870"/>
      <c r="Z163" s="870"/>
      <c r="AA163" s="870"/>
      <c r="AB163" s="870"/>
      <c r="AC163" s="870"/>
      <c r="AD163" s="870"/>
      <c r="AE163" s="870"/>
      <c r="AF163" s="870"/>
      <c r="AG163" s="870"/>
    </row>
    <row r="164" spans="1:33" ht="18.75" customHeight="1" x14ac:dyDescent="0.3">
      <c r="A164" s="957"/>
      <c r="B164" s="42"/>
      <c r="C164" s="955"/>
      <c r="D164" s="34"/>
      <c r="E164" s="684"/>
      <c r="F164" s="684"/>
      <c r="G164" s="37"/>
      <c r="H164" s="684"/>
      <c r="I164" s="684"/>
      <c r="J164" s="37"/>
      <c r="K164" s="1055"/>
      <c r="L164" s="684"/>
      <c r="M164" s="684"/>
      <c r="N164" s="1095">
        <f t="shared" si="55"/>
        <v>0</v>
      </c>
      <c r="O164" s="940"/>
      <c r="P164" s="874"/>
      <c r="Q164" s="875"/>
      <c r="R164" s="764"/>
      <c r="S164" s="769">
        <f t="shared" si="56"/>
        <v>0</v>
      </c>
      <c r="T164" s="870"/>
      <c r="U164" s="882"/>
      <c r="V164" s="870"/>
      <c r="W164" s="870"/>
      <c r="X164" s="870"/>
      <c r="Y164" s="870"/>
      <c r="Z164" s="870"/>
      <c r="AA164" s="870"/>
      <c r="AB164" s="870"/>
      <c r="AC164" s="870"/>
      <c r="AD164" s="870"/>
      <c r="AE164" s="870"/>
      <c r="AF164" s="870"/>
      <c r="AG164" s="870"/>
    </row>
    <row r="165" spans="1:33" ht="18.75" customHeight="1" x14ac:dyDescent="0.3">
      <c r="A165" s="957"/>
      <c r="B165" s="42"/>
      <c r="C165" s="955"/>
      <c r="D165" s="41"/>
      <c r="E165" s="684"/>
      <c r="F165" s="684"/>
      <c r="G165" s="37"/>
      <c r="H165" s="684"/>
      <c r="I165" s="684"/>
      <c r="J165" s="37"/>
      <c r="K165" s="1055"/>
      <c r="L165" s="684"/>
      <c r="M165" s="684"/>
      <c r="N165" s="1095">
        <f t="shared" si="55"/>
        <v>0</v>
      </c>
      <c r="O165" s="940"/>
      <c r="P165" s="874"/>
      <c r="Q165" s="494"/>
      <c r="R165" s="764"/>
      <c r="S165" s="769">
        <f t="shared" si="56"/>
        <v>0</v>
      </c>
      <c r="T165" s="870"/>
      <c r="U165" s="882"/>
      <c r="V165" s="870"/>
      <c r="W165" s="870"/>
      <c r="X165" s="870"/>
      <c r="Y165" s="870"/>
      <c r="Z165" s="870"/>
      <c r="AA165" s="870"/>
      <c r="AB165" s="870"/>
      <c r="AC165" s="870"/>
      <c r="AD165" s="870"/>
      <c r="AE165" s="870"/>
      <c r="AF165" s="870"/>
      <c r="AG165" s="870"/>
    </row>
    <row r="166" spans="1:33" ht="18.75" customHeight="1" x14ac:dyDescent="0.3">
      <c r="A166" s="957"/>
      <c r="B166" s="42"/>
      <c r="C166" s="955"/>
      <c r="D166" s="41"/>
      <c r="E166" s="684"/>
      <c r="F166" s="684"/>
      <c r="G166" s="37"/>
      <c r="H166" s="684"/>
      <c r="I166" s="684"/>
      <c r="J166" s="37"/>
      <c r="K166" s="1055"/>
      <c r="L166" s="684"/>
      <c r="M166" s="684"/>
      <c r="N166" s="1095">
        <f t="shared" si="55"/>
        <v>0</v>
      </c>
      <c r="O166" s="940"/>
      <c r="P166" s="874"/>
      <c r="Q166" s="494"/>
      <c r="R166" s="764"/>
      <c r="S166" s="769">
        <f t="shared" si="56"/>
        <v>0</v>
      </c>
      <c r="T166" s="870"/>
      <c r="U166" s="882"/>
      <c r="V166" s="870"/>
      <c r="W166" s="870"/>
      <c r="X166" s="870"/>
      <c r="Y166" s="870"/>
      <c r="Z166" s="870"/>
      <c r="AA166" s="870"/>
      <c r="AB166" s="870"/>
      <c r="AC166" s="870"/>
      <c r="AD166" s="870"/>
      <c r="AE166" s="870"/>
      <c r="AF166" s="870"/>
      <c r="AG166" s="870"/>
    </row>
    <row r="167" spans="1:33" ht="18.75" customHeight="1" x14ac:dyDescent="0.3">
      <c r="A167" s="957"/>
      <c r="B167" s="42"/>
      <c r="C167" s="955"/>
      <c r="D167" s="41"/>
      <c r="E167" s="684"/>
      <c r="F167" s="684"/>
      <c r="G167" s="37"/>
      <c r="H167" s="684"/>
      <c r="I167" s="684"/>
      <c r="J167" s="37"/>
      <c r="K167" s="1055"/>
      <c r="L167" s="684"/>
      <c r="M167" s="684"/>
      <c r="N167" s="1095">
        <f t="shared" si="55"/>
        <v>0</v>
      </c>
      <c r="O167" s="937"/>
      <c r="P167" s="876"/>
      <c r="Q167" s="494"/>
      <c r="R167" s="764"/>
      <c r="S167" s="769">
        <f t="shared" si="56"/>
        <v>0</v>
      </c>
      <c r="T167" s="870"/>
      <c r="U167" s="882"/>
      <c r="V167" s="870"/>
      <c r="W167" s="870"/>
      <c r="X167" s="870"/>
      <c r="Y167" s="870"/>
      <c r="Z167" s="870"/>
      <c r="AA167" s="870"/>
      <c r="AB167" s="870"/>
      <c r="AC167" s="870"/>
      <c r="AD167" s="870"/>
      <c r="AE167" s="870"/>
      <c r="AF167" s="870"/>
      <c r="AG167" s="870"/>
    </row>
    <row r="168" spans="1:33" ht="18.75" customHeight="1" x14ac:dyDescent="0.3">
      <c r="A168" s="957"/>
      <c r="B168" s="42"/>
      <c r="C168" s="955"/>
      <c r="D168" s="41"/>
      <c r="E168" s="684"/>
      <c r="F168" s="684"/>
      <c r="G168" s="37"/>
      <c r="H168" s="684"/>
      <c r="I168" s="684"/>
      <c r="J168" s="37"/>
      <c r="K168" s="1055"/>
      <c r="L168" s="684"/>
      <c r="M168" s="684"/>
      <c r="N168" s="1095">
        <f t="shared" si="55"/>
        <v>0</v>
      </c>
      <c r="O168" s="940"/>
      <c r="P168" s="874"/>
      <c r="Q168" s="494"/>
      <c r="R168" s="764"/>
      <c r="S168" s="769">
        <f t="shared" si="56"/>
        <v>0</v>
      </c>
      <c r="T168" s="870"/>
      <c r="U168" s="882"/>
      <c r="V168" s="870"/>
      <c r="W168" s="870"/>
      <c r="X168" s="870"/>
      <c r="Y168" s="870"/>
      <c r="Z168" s="870"/>
      <c r="AA168" s="870"/>
      <c r="AB168" s="870"/>
      <c r="AC168" s="870"/>
      <c r="AD168" s="870"/>
      <c r="AE168" s="870"/>
      <c r="AF168" s="870"/>
      <c r="AG168" s="870"/>
    </row>
    <row r="169" spans="1:33" ht="18.75" customHeight="1" x14ac:dyDescent="0.3">
      <c r="A169" s="957"/>
      <c r="B169" s="42"/>
      <c r="C169" s="955"/>
      <c r="D169" s="41"/>
      <c r="E169" s="684"/>
      <c r="F169" s="684"/>
      <c r="G169" s="37"/>
      <c r="H169" s="684"/>
      <c r="I169" s="684"/>
      <c r="J169" s="37"/>
      <c r="K169" s="1055"/>
      <c r="L169" s="684"/>
      <c r="M169" s="684"/>
      <c r="N169" s="1095">
        <f t="shared" si="55"/>
        <v>0</v>
      </c>
      <c r="O169" s="940"/>
      <c r="P169" s="874"/>
      <c r="Q169" s="494"/>
      <c r="R169" s="764"/>
      <c r="S169" s="769">
        <f t="shared" si="56"/>
        <v>0</v>
      </c>
      <c r="T169" s="870"/>
      <c r="U169" s="882"/>
      <c r="V169" s="870"/>
      <c r="W169" s="870"/>
      <c r="X169" s="870"/>
      <c r="Y169" s="870"/>
      <c r="Z169" s="870"/>
      <c r="AA169" s="870"/>
      <c r="AB169" s="870"/>
      <c r="AC169" s="870"/>
      <c r="AD169" s="870"/>
      <c r="AE169" s="870"/>
      <c r="AF169" s="870"/>
      <c r="AG169" s="870"/>
    </row>
    <row r="170" spans="1:33" ht="18.75" customHeight="1" x14ac:dyDescent="0.3">
      <c r="A170" s="957"/>
      <c r="B170" s="42"/>
      <c r="C170" s="955"/>
      <c r="D170" s="41"/>
      <c r="E170" s="684"/>
      <c r="F170" s="684"/>
      <c r="G170" s="37"/>
      <c r="H170" s="684"/>
      <c r="I170" s="684"/>
      <c r="J170" s="37"/>
      <c r="K170" s="1055"/>
      <c r="L170" s="684"/>
      <c r="M170" s="684"/>
      <c r="N170" s="1095">
        <f t="shared" si="55"/>
        <v>0</v>
      </c>
      <c r="O170" s="937"/>
      <c r="P170" s="42"/>
      <c r="Q170" s="494"/>
      <c r="R170" s="764"/>
      <c r="S170" s="769">
        <f t="shared" si="56"/>
        <v>0</v>
      </c>
      <c r="T170" s="870"/>
      <c r="U170" s="882"/>
      <c r="V170" s="883"/>
      <c r="W170" s="883"/>
      <c r="X170" s="883"/>
      <c r="Y170" s="883"/>
      <c r="Z170" s="883"/>
      <c r="AA170" s="883"/>
      <c r="AB170" s="883"/>
      <c r="AC170" s="883"/>
      <c r="AD170" s="883"/>
      <c r="AE170" s="883"/>
      <c r="AF170" s="883"/>
      <c r="AG170" s="883"/>
    </row>
    <row r="171" spans="1:33" ht="18.75" customHeight="1" x14ac:dyDescent="0.3">
      <c r="A171" s="742"/>
      <c r="B171" s="482"/>
      <c r="C171" s="482"/>
      <c r="D171" s="149" t="s">
        <v>257</v>
      </c>
      <c r="E171" s="150">
        <f t="shared" ref="E171:M171" si="57">SUM(E160:E170)</f>
        <v>0</v>
      </c>
      <c r="F171" s="150">
        <f t="shared" si="57"/>
        <v>0</v>
      </c>
      <c r="G171" s="150">
        <f t="shared" si="57"/>
        <v>0</v>
      </c>
      <c r="H171" s="150">
        <f t="shared" si="57"/>
        <v>0</v>
      </c>
      <c r="I171" s="150">
        <f t="shared" si="57"/>
        <v>0</v>
      </c>
      <c r="J171" s="150">
        <f t="shared" si="57"/>
        <v>0</v>
      </c>
      <c r="K171" s="492">
        <f t="shared" si="57"/>
        <v>0</v>
      </c>
      <c r="L171" s="150">
        <f t="shared" si="57"/>
        <v>0</v>
      </c>
      <c r="M171" s="150">
        <f t="shared" si="57"/>
        <v>0</v>
      </c>
      <c r="N171" s="483">
        <f>SUM(E171:M171)</f>
        <v>0</v>
      </c>
      <c r="O171" s="940"/>
      <c r="P171" s="874"/>
      <c r="Q171" s="875"/>
      <c r="R171" s="764"/>
      <c r="S171" s="769">
        <f t="shared" si="56"/>
        <v>0</v>
      </c>
      <c r="T171" s="55"/>
      <c r="U171" s="395"/>
      <c r="V171" s="43"/>
      <c r="W171" s="43"/>
      <c r="X171" s="43"/>
      <c r="Y171" s="477"/>
      <c r="Z171" s="477"/>
      <c r="AA171" s="477"/>
      <c r="AB171" s="477"/>
      <c r="AC171" s="477"/>
      <c r="AD171" s="477"/>
      <c r="AE171" s="477"/>
      <c r="AF171" s="477"/>
      <c r="AG171" s="477"/>
    </row>
    <row r="172" spans="1:33" ht="18.75" customHeight="1" x14ac:dyDescent="0.3">
      <c r="A172" s="742"/>
      <c r="B172" s="482"/>
      <c r="C172" s="482"/>
      <c r="D172" s="149" t="s">
        <v>258</v>
      </c>
      <c r="E172" s="150">
        <f t="shared" ref="E172:M172" si="58">SUM(E158+E171)</f>
        <v>1908667.52</v>
      </c>
      <c r="F172" s="150">
        <f t="shared" si="58"/>
        <v>10748.869999999999</v>
      </c>
      <c r="G172" s="150">
        <f t="shared" si="58"/>
        <v>26880.09</v>
      </c>
      <c r="H172" s="150">
        <f t="shared" si="58"/>
        <v>94447</v>
      </c>
      <c r="I172" s="150">
        <f t="shared" si="58"/>
        <v>0</v>
      </c>
      <c r="J172" s="150">
        <f t="shared" si="58"/>
        <v>26438.639999999999</v>
      </c>
      <c r="K172" s="492">
        <f t="shared" si="58"/>
        <v>64200</v>
      </c>
      <c r="L172" s="150">
        <f t="shared" si="58"/>
        <v>1449950</v>
      </c>
      <c r="M172" s="150">
        <f t="shared" si="58"/>
        <v>1145328</v>
      </c>
      <c r="N172" s="483">
        <f>SUM(E172:M172)</f>
        <v>4726660.12</v>
      </c>
      <c r="O172" s="940"/>
      <c r="P172" s="874"/>
      <c r="Q172" s="494"/>
      <c r="R172" s="764"/>
      <c r="S172" s="769">
        <f t="shared" si="56"/>
        <v>4726660.12</v>
      </c>
      <c r="T172" s="55"/>
      <c r="U172" s="395"/>
      <c r="V172" s="37"/>
      <c r="W172" s="488"/>
      <c r="X172" s="488"/>
      <c r="Y172" s="489"/>
      <c r="Z172" s="489"/>
      <c r="AA172" s="489"/>
      <c r="AB172" s="489"/>
      <c r="AC172" s="489"/>
      <c r="AD172" s="489"/>
      <c r="AE172" s="489"/>
      <c r="AF172" s="489"/>
      <c r="AG172" s="489"/>
    </row>
    <row r="173" spans="1:33" ht="18.75" customHeight="1" x14ac:dyDescent="0.3">
      <c r="A173" s="743"/>
      <c r="B173" s="484"/>
      <c r="C173" s="484"/>
      <c r="D173" s="152" t="s">
        <v>259</v>
      </c>
      <c r="E173" s="153">
        <f t="shared" ref="E173:M173" si="59">SUM(E159-E171)</f>
        <v>2750832.48</v>
      </c>
      <c r="F173" s="153">
        <f t="shared" si="59"/>
        <v>109051.13</v>
      </c>
      <c r="G173" s="153">
        <f t="shared" si="59"/>
        <v>13119.91</v>
      </c>
      <c r="H173" s="153">
        <f t="shared" si="59"/>
        <v>153853</v>
      </c>
      <c r="I173" s="153">
        <f t="shared" si="59"/>
        <v>1200000</v>
      </c>
      <c r="J173" s="153">
        <f t="shared" si="59"/>
        <v>73561.359999999986</v>
      </c>
      <c r="K173" s="493">
        <f t="shared" si="59"/>
        <v>200000</v>
      </c>
      <c r="L173" s="153">
        <f t="shared" si="59"/>
        <v>145850</v>
      </c>
      <c r="M173" s="153">
        <f t="shared" si="59"/>
        <v>-45328</v>
      </c>
      <c r="N173" s="485">
        <f>SUM(E173:M173)</f>
        <v>4600939.88</v>
      </c>
      <c r="O173" s="940"/>
      <c r="P173" s="874"/>
      <c r="Q173" s="494"/>
      <c r="R173" s="764"/>
      <c r="S173" s="769">
        <f t="shared" si="56"/>
        <v>4600939.88</v>
      </c>
      <c r="T173" s="55"/>
      <c r="U173" s="395"/>
      <c r="V173" s="37"/>
      <c r="W173" s="37"/>
      <c r="X173" s="37"/>
      <c r="Y173" s="476"/>
      <c r="Z173" s="476"/>
      <c r="AA173" s="476"/>
      <c r="AB173" s="476"/>
      <c r="AC173" s="476"/>
      <c r="AD173" s="476"/>
      <c r="AE173" s="476"/>
      <c r="AF173" s="476"/>
      <c r="AG173" s="476"/>
    </row>
    <row r="174" spans="1:33" ht="18.75" customHeight="1" x14ac:dyDescent="0.3">
      <c r="A174" s="733"/>
      <c r="B174" s="42"/>
      <c r="C174" s="42"/>
      <c r="D174" s="41"/>
      <c r="E174" s="37"/>
      <c r="F174" s="37"/>
      <c r="G174" s="37"/>
      <c r="H174" s="37"/>
      <c r="I174" s="37"/>
      <c r="J174" s="37"/>
      <c r="K174" s="37"/>
      <c r="L174" s="1055"/>
      <c r="M174" s="37"/>
      <c r="N174" s="139"/>
      <c r="O174" s="937"/>
      <c r="P174" s="876"/>
      <c r="Q174" s="494"/>
      <c r="R174" s="764"/>
      <c r="S174" s="769">
        <f t="shared" si="56"/>
        <v>0</v>
      </c>
      <c r="T174" s="37"/>
      <c r="U174" s="395"/>
      <c r="V174" s="37"/>
      <c r="W174" s="488"/>
      <c r="X174" s="488"/>
      <c r="Y174" s="489"/>
      <c r="Z174" s="489"/>
      <c r="AA174" s="489"/>
      <c r="AB174" s="489"/>
      <c r="AC174" s="489"/>
      <c r="AD174" s="489"/>
      <c r="AE174" s="489"/>
      <c r="AF174" s="489"/>
      <c r="AG174" s="489"/>
    </row>
    <row r="175" spans="1:33" ht="18.75" customHeight="1" x14ac:dyDescent="0.3">
      <c r="A175" s="733"/>
      <c r="B175" s="42"/>
      <c r="C175" s="42"/>
      <c r="D175" s="41"/>
      <c r="E175" s="37"/>
      <c r="F175" s="37"/>
      <c r="G175" s="37"/>
      <c r="H175" s="37"/>
      <c r="I175" s="37"/>
      <c r="J175" s="37"/>
      <c r="K175" s="37"/>
      <c r="L175" s="1055"/>
      <c r="M175" s="37"/>
      <c r="N175" s="139"/>
      <c r="O175" s="940"/>
      <c r="P175" s="874"/>
      <c r="Q175" s="494"/>
      <c r="R175" s="764"/>
      <c r="S175" s="769">
        <f t="shared" si="56"/>
        <v>0</v>
      </c>
      <c r="T175" s="37"/>
      <c r="U175" s="395"/>
      <c r="V175" s="37"/>
      <c r="W175" s="37"/>
      <c r="X175" s="37"/>
      <c r="Y175" s="476"/>
      <c r="Z175" s="476"/>
      <c r="AA175" s="476"/>
      <c r="AB175" s="476"/>
      <c r="AC175" s="476"/>
      <c r="AD175" s="476"/>
      <c r="AE175" s="476"/>
      <c r="AF175" s="476"/>
      <c r="AG175" s="476"/>
    </row>
    <row r="176" spans="1:33" ht="18.75" customHeight="1" x14ac:dyDescent="0.3">
      <c r="A176" s="733"/>
      <c r="B176" s="42"/>
      <c r="C176" s="42"/>
      <c r="D176" s="41"/>
      <c r="E176" s="37"/>
      <c r="F176" s="37"/>
      <c r="G176" s="37"/>
      <c r="H176" s="37"/>
      <c r="I176" s="37"/>
      <c r="J176" s="37"/>
      <c r="K176" s="37"/>
      <c r="L176" s="1055"/>
      <c r="M176" s="37"/>
      <c r="N176" s="139"/>
      <c r="O176" s="940"/>
      <c r="P176" s="874"/>
      <c r="Q176" s="494"/>
      <c r="R176" s="764"/>
      <c r="S176" s="769">
        <f t="shared" si="56"/>
        <v>0</v>
      </c>
      <c r="T176" s="37"/>
      <c r="U176" s="395"/>
      <c r="V176" s="37"/>
      <c r="W176" s="37"/>
      <c r="X176" s="37"/>
      <c r="Y176" s="476"/>
      <c r="Z176" s="476"/>
      <c r="AA176" s="476"/>
      <c r="AB176" s="476"/>
      <c r="AC176" s="476"/>
      <c r="AD176" s="476"/>
      <c r="AE176" s="476"/>
      <c r="AF176" s="476"/>
      <c r="AG176" s="476"/>
    </row>
    <row r="177" spans="1:33" ht="18.75" customHeight="1" x14ac:dyDescent="0.3">
      <c r="A177" s="733"/>
      <c r="B177" s="42"/>
      <c r="C177" s="42"/>
      <c r="D177" s="41"/>
      <c r="E177" s="37"/>
      <c r="F177" s="37"/>
      <c r="G177" s="37"/>
      <c r="H177" s="37"/>
      <c r="I177" s="37"/>
      <c r="J177" s="37"/>
      <c r="K177" s="37"/>
      <c r="L177" s="1055"/>
      <c r="M177" s="37"/>
      <c r="N177" s="139"/>
      <c r="O177" s="937"/>
      <c r="P177" s="42"/>
      <c r="Q177" s="494"/>
      <c r="R177" s="764"/>
      <c r="S177" s="769">
        <f t="shared" si="56"/>
        <v>0</v>
      </c>
      <c r="T177" s="37"/>
      <c r="U177" s="395"/>
      <c r="V177" s="37"/>
      <c r="W177" s="37"/>
      <c r="X177" s="37"/>
      <c r="Y177" s="476"/>
      <c r="Z177" s="476"/>
      <c r="AA177" s="476"/>
      <c r="AB177" s="476"/>
      <c r="AC177" s="476"/>
      <c r="AD177" s="476"/>
      <c r="AE177" s="476"/>
      <c r="AF177" s="476"/>
      <c r="AG177" s="476"/>
    </row>
    <row r="178" spans="1:33" ht="18.75" customHeight="1" x14ac:dyDescent="0.3">
      <c r="A178" s="733"/>
      <c r="B178" s="42"/>
      <c r="C178" s="42"/>
      <c r="D178" s="41"/>
      <c r="E178" s="37"/>
      <c r="F178" s="37"/>
      <c r="G178" s="37"/>
      <c r="H178" s="37"/>
      <c r="I178" s="37"/>
      <c r="J178" s="37"/>
      <c r="K178" s="37"/>
      <c r="L178" s="1055"/>
      <c r="M178" s="37"/>
      <c r="N178" s="139"/>
      <c r="O178" s="937"/>
      <c r="P178" s="42"/>
      <c r="Q178" s="494"/>
      <c r="R178" s="764"/>
      <c r="S178" s="769">
        <f t="shared" si="56"/>
        <v>0</v>
      </c>
      <c r="T178" s="37"/>
      <c r="U178" s="395"/>
      <c r="V178" s="37"/>
      <c r="W178" s="37"/>
      <c r="X178" s="37"/>
      <c r="Y178" s="476"/>
      <c r="Z178" s="476"/>
      <c r="AA178" s="476"/>
      <c r="AB178" s="476"/>
      <c r="AC178" s="476"/>
      <c r="AD178" s="476"/>
      <c r="AE178" s="476"/>
      <c r="AF178" s="476"/>
      <c r="AG178" s="476"/>
    </row>
    <row r="179" spans="1:33" ht="18.75" customHeight="1" x14ac:dyDescent="0.3">
      <c r="A179" s="733"/>
      <c r="B179" s="42"/>
      <c r="C179" s="42"/>
      <c r="D179" s="41"/>
      <c r="E179" s="37"/>
      <c r="F179" s="37"/>
      <c r="G179" s="37"/>
      <c r="H179" s="37"/>
      <c r="I179" s="37"/>
      <c r="J179" s="37"/>
      <c r="K179" s="37"/>
      <c r="L179" s="1055"/>
      <c r="M179" s="37"/>
      <c r="N179" s="139"/>
      <c r="O179" s="937"/>
      <c r="P179" s="42"/>
      <c r="Q179" s="494"/>
      <c r="R179" s="764"/>
      <c r="S179" s="769">
        <f t="shared" si="56"/>
        <v>0</v>
      </c>
      <c r="T179" s="37"/>
      <c r="U179" s="395"/>
      <c r="V179" s="43"/>
      <c r="W179" s="43"/>
      <c r="X179" s="43"/>
      <c r="Y179" s="477"/>
      <c r="Z179" s="477"/>
      <c r="AA179" s="477"/>
      <c r="AB179" s="477"/>
      <c r="AC179" s="477"/>
      <c r="AD179" s="477"/>
      <c r="AE179" s="477"/>
      <c r="AF179" s="477"/>
      <c r="AG179" s="477"/>
    </row>
    <row r="180" spans="1:33" ht="18.75" customHeight="1" x14ac:dyDescent="0.3">
      <c r="A180" s="733"/>
      <c r="B180" s="42"/>
      <c r="C180" s="42"/>
      <c r="D180" s="41"/>
      <c r="E180" s="37"/>
      <c r="F180" s="37"/>
      <c r="G180" s="37"/>
      <c r="H180" s="37"/>
      <c r="I180" s="37"/>
      <c r="J180" s="37"/>
      <c r="K180" s="37"/>
      <c r="L180" s="1055"/>
      <c r="M180" s="37"/>
      <c r="N180" s="139"/>
      <c r="O180" s="937"/>
      <c r="P180" s="42"/>
      <c r="Q180" s="494"/>
      <c r="R180" s="764"/>
      <c r="S180" s="769">
        <f t="shared" si="56"/>
        <v>0</v>
      </c>
      <c r="T180" s="37"/>
      <c r="U180" s="395"/>
      <c r="V180" s="37"/>
      <c r="W180" s="488"/>
      <c r="X180" s="488"/>
      <c r="Y180" s="489"/>
      <c r="Z180" s="489"/>
      <c r="AA180" s="489"/>
      <c r="AB180" s="489"/>
      <c r="AC180" s="489"/>
      <c r="AD180" s="489"/>
      <c r="AE180" s="489"/>
      <c r="AF180" s="489"/>
      <c r="AG180" s="489"/>
    </row>
    <row r="181" spans="1:33" ht="18.75" customHeight="1" x14ac:dyDescent="0.3">
      <c r="A181" s="733"/>
      <c r="B181" s="42"/>
      <c r="C181" s="42"/>
      <c r="D181" s="41"/>
      <c r="E181" s="37"/>
      <c r="F181" s="37"/>
      <c r="G181" s="37"/>
      <c r="H181" s="37"/>
      <c r="I181" s="37"/>
      <c r="J181" s="37"/>
      <c r="K181" s="37"/>
      <c r="L181" s="1055"/>
      <c r="M181" s="37"/>
      <c r="N181" s="139"/>
      <c r="O181" s="937"/>
      <c r="P181" s="42"/>
      <c r="Q181" s="494"/>
      <c r="R181" s="764"/>
      <c r="S181" s="769">
        <f t="shared" si="56"/>
        <v>0</v>
      </c>
      <c r="T181" s="37"/>
      <c r="U181" s="395"/>
      <c r="V181" s="37"/>
      <c r="W181" s="488"/>
      <c r="X181" s="488"/>
      <c r="Y181" s="489"/>
      <c r="Z181" s="489"/>
      <c r="AA181" s="489"/>
      <c r="AB181" s="489"/>
      <c r="AC181" s="489"/>
      <c r="AD181" s="489"/>
      <c r="AE181" s="489"/>
      <c r="AF181" s="489"/>
      <c r="AG181" s="489"/>
    </row>
    <row r="182" spans="1:33" ht="18.75" customHeight="1" x14ac:dyDescent="0.3">
      <c r="A182" s="733"/>
      <c r="B182" s="42"/>
      <c r="C182" s="42"/>
      <c r="D182" s="41"/>
      <c r="E182" s="37"/>
      <c r="F182" s="37"/>
      <c r="G182" s="37"/>
      <c r="H182" s="37"/>
      <c r="I182" s="37"/>
      <c r="J182" s="37"/>
      <c r="K182" s="37"/>
      <c r="L182" s="1055"/>
      <c r="M182" s="37"/>
      <c r="N182" s="139"/>
      <c r="O182" s="937"/>
      <c r="P182" s="42"/>
      <c r="Q182" s="494"/>
      <c r="R182" s="764"/>
      <c r="S182" s="769">
        <f t="shared" si="56"/>
        <v>0</v>
      </c>
      <c r="T182" s="37"/>
      <c r="U182" s="395"/>
      <c r="V182" s="37"/>
      <c r="W182" s="37"/>
      <c r="X182" s="37"/>
      <c r="Y182" s="476"/>
      <c r="Z182" s="476"/>
      <c r="AA182" s="476"/>
      <c r="AB182" s="476"/>
      <c r="AC182" s="476"/>
      <c r="AD182" s="476"/>
      <c r="AE182" s="476"/>
      <c r="AF182" s="476"/>
      <c r="AG182" s="476"/>
    </row>
    <row r="183" spans="1:33" ht="18.75" customHeight="1" x14ac:dyDescent="0.3">
      <c r="A183" s="733"/>
      <c r="B183" s="42"/>
      <c r="C183" s="42"/>
      <c r="D183" s="41"/>
      <c r="E183" s="37"/>
      <c r="F183" s="37"/>
      <c r="G183" s="37"/>
      <c r="H183" s="37"/>
      <c r="I183" s="37"/>
      <c r="J183" s="37"/>
      <c r="K183" s="37"/>
      <c r="L183" s="1055"/>
      <c r="M183" s="37"/>
      <c r="N183" s="139"/>
      <c r="O183" s="937"/>
      <c r="P183" s="42"/>
      <c r="Q183" s="494"/>
      <c r="R183" s="764"/>
      <c r="S183" s="769">
        <f t="shared" si="56"/>
        <v>0</v>
      </c>
      <c r="T183" s="37"/>
      <c r="U183" s="397"/>
      <c r="V183" s="37"/>
      <c r="W183" s="55"/>
      <c r="X183" s="491"/>
      <c r="Y183" s="491"/>
      <c r="Z183" s="491"/>
      <c r="AA183" s="491"/>
      <c r="AB183" s="491"/>
      <c r="AC183" s="491"/>
      <c r="AD183" s="491"/>
      <c r="AE183" s="491"/>
      <c r="AF183" s="491"/>
      <c r="AG183" s="491"/>
    </row>
    <row r="184" spans="1:33" ht="18.75" customHeight="1" x14ac:dyDescent="0.3">
      <c r="A184" s="733"/>
      <c r="B184" s="42"/>
      <c r="C184" s="42"/>
      <c r="D184" s="41"/>
      <c r="E184" s="37"/>
      <c r="F184" s="37"/>
      <c r="G184" s="37"/>
      <c r="H184" s="37"/>
      <c r="I184" s="37"/>
      <c r="J184" s="37"/>
      <c r="K184" s="37"/>
      <c r="L184" s="1055"/>
      <c r="M184" s="37"/>
      <c r="N184" s="139"/>
      <c r="O184" s="937"/>
      <c r="P184" s="42"/>
      <c r="Q184" s="494"/>
      <c r="R184" s="764"/>
      <c r="S184" s="769">
        <f t="shared" si="56"/>
        <v>0</v>
      </c>
      <c r="T184" s="37"/>
      <c r="U184" s="397"/>
      <c r="V184" s="37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</row>
    <row r="185" spans="1:33" ht="18.75" customHeight="1" x14ac:dyDescent="0.3">
      <c r="A185" s="733"/>
      <c r="B185" s="42"/>
      <c r="C185" s="42"/>
      <c r="D185" s="41"/>
      <c r="E185" s="37"/>
      <c r="F185" s="37"/>
      <c r="G185" s="37"/>
      <c r="H185" s="37"/>
      <c r="I185" s="37"/>
      <c r="J185" s="37"/>
      <c r="K185" s="37"/>
      <c r="L185" s="1055"/>
      <c r="M185" s="37"/>
      <c r="N185" s="139"/>
      <c r="O185" s="937"/>
      <c r="P185" s="42"/>
      <c r="Q185" s="494"/>
      <c r="R185" s="764"/>
      <c r="S185" s="769">
        <f t="shared" si="56"/>
        <v>0</v>
      </c>
      <c r="T185" s="37"/>
      <c r="U185" s="397"/>
      <c r="V185" s="37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</row>
    <row r="186" spans="1:33" ht="18.75" customHeight="1" x14ac:dyDescent="0.3">
      <c r="A186" s="733"/>
      <c r="B186" s="42"/>
      <c r="C186" s="42"/>
      <c r="D186" s="41"/>
      <c r="E186" s="37"/>
      <c r="F186" s="37"/>
      <c r="G186" s="37"/>
      <c r="H186" s="37"/>
      <c r="I186" s="37"/>
      <c r="J186" s="37"/>
      <c r="K186" s="37"/>
      <c r="L186" s="1055"/>
      <c r="M186" s="37"/>
      <c r="N186" s="139"/>
      <c r="O186" s="937"/>
      <c r="P186" s="42"/>
      <c r="Q186" s="494"/>
      <c r="R186" s="764"/>
      <c r="S186" s="769">
        <f t="shared" si="56"/>
        <v>0</v>
      </c>
      <c r="T186" s="37"/>
      <c r="U186" s="395"/>
      <c r="V186" s="37"/>
      <c r="W186" s="37"/>
      <c r="X186" s="37"/>
      <c r="Y186" s="476"/>
      <c r="Z186" s="476"/>
      <c r="AA186" s="476"/>
      <c r="AB186" s="476"/>
      <c r="AC186" s="476"/>
      <c r="AD186" s="476"/>
      <c r="AE186" s="476"/>
      <c r="AF186" s="476"/>
      <c r="AG186" s="476"/>
    </row>
    <row r="187" spans="1:33" ht="18.75" customHeight="1" x14ac:dyDescent="0.3">
      <c r="A187" s="733"/>
      <c r="B187" s="42"/>
      <c r="C187" s="42"/>
      <c r="D187" s="41"/>
      <c r="E187" s="37"/>
      <c r="F187" s="37"/>
      <c r="G187" s="37"/>
      <c r="H187" s="37"/>
      <c r="I187" s="37"/>
      <c r="J187" s="37"/>
      <c r="K187" s="37"/>
      <c r="L187" s="1055"/>
      <c r="M187" s="37"/>
      <c r="N187" s="139"/>
      <c r="O187" s="937"/>
      <c r="P187" s="42"/>
      <c r="Q187" s="494"/>
      <c r="R187" s="764"/>
      <c r="S187" s="769">
        <f t="shared" si="56"/>
        <v>0</v>
      </c>
      <c r="T187" s="37"/>
      <c r="U187" s="395"/>
      <c r="V187" s="37"/>
      <c r="W187" s="37"/>
      <c r="X187" s="37"/>
      <c r="Y187" s="476"/>
      <c r="Z187" s="476"/>
      <c r="AA187" s="476"/>
      <c r="AB187" s="476"/>
      <c r="AC187" s="476"/>
      <c r="AD187" s="476"/>
      <c r="AE187" s="476"/>
      <c r="AF187" s="476"/>
      <c r="AG187" s="476"/>
    </row>
    <row r="188" spans="1:33" ht="18.75" customHeight="1" x14ac:dyDescent="0.3">
      <c r="A188" s="733"/>
      <c r="B188" s="42"/>
      <c r="C188" s="42"/>
      <c r="D188" s="41"/>
      <c r="E188" s="37"/>
      <c r="F188" s="37"/>
      <c r="G188" s="37"/>
      <c r="H188" s="37"/>
      <c r="I188" s="37"/>
      <c r="J188" s="37"/>
      <c r="K188" s="37"/>
      <c r="L188" s="72"/>
      <c r="M188" s="37"/>
      <c r="N188" s="139"/>
      <c r="O188" s="941"/>
      <c r="P188" s="490"/>
      <c r="Q188" s="509"/>
      <c r="R188" s="765"/>
      <c r="S188" s="769"/>
      <c r="T188" s="37"/>
      <c r="U188" s="395"/>
      <c r="V188" s="37"/>
      <c r="W188" s="37"/>
      <c r="X188" s="37"/>
      <c r="Y188" s="476"/>
      <c r="Z188" s="476"/>
      <c r="AA188" s="476"/>
      <c r="AB188" s="476"/>
      <c r="AC188" s="476"/>
      <c r="AD188" s="476"/>
      <c r="AE188" s="476"/>
      <c r="AF188" s="476"/>
      <c r="AG188" s="476"/>
    </row>
    <row r="189" spans="1:33" ht="18.75" customHeight="1" x14ac:dyDescent="0.3">
      <c r="A189" s="733"/>
      <c r="B189" s="42"/>
      <c r="C189" s="42"/>
      <c r="D189" s="41"/>
      <c r="E189" s="37"/>
      <c r="F189" s="37"/>
      <c r="G189" s="37"/>
      <c r="H189" s="37"/>
      <c r="I189" s="37"/>
      <c r="J189" s="37"/>
      <c r="K189" s="37"/>
      <c r="L189" s="72"/>
      <c r="M189" s="37"/>
      <c r="N189" s="139"/>
      <c r="O189" s="941"/>
      <c r="P189" s="490"/>
      <c r="Q189" s="509"/>
      <c r="R189" s="765"/>
      <c r="S189" s="769"/>
      <c r="T189" s="37"/>
      <c r="U189" s="395"/>
      <c r="V189" s="37"/>
      <c r="W189" s="37"/>
      <c r="X189" s="37"/>
      <c r="Y189" s="476"/>
      <c r="Z189" s="476"/>
      <c r="AA189" s="476"/>
      <c r="AB189" s="476"/>
      <c r="AC189" s="476"/>
      <c r="AD189" s="476"/>
      <c r="AE189" s="476"/>
      <c r="AF189" s="476"/>
      <c r="AG189" s="476"/>
    </row>
    <row r="190" spans="1:33" ht="18.75" customHeight="1" x14ac:dyDescent="0.3">
      <c r="A190" s="733"/>
      <c r="B190" s="42"/>
      <c r="C190" s="42"/>
      <c r="D190" s="41"/>
      <c r="E190" s="37"/>
      <c r="F190" s="37"/>
      <c r="G190" s="37"/>
      <c r="H190" s="37"/>
      <c r="I190" s="37"/>
      <c r="J190" s="37"/>
      <c r="K190" s="37"/>
      <c r="L190" s="72"/>
      <c r="M190" s="37"/>
      <c r="N190" s="139"/>
      <c r="O190" s="941"/>
      <c r="P190" s="490"/>
      <c r="Q190" s="509"/>
      <c r="R190" s="765"/>
      <c r="S190" s="769"/>
      <c r="T190" s="37"/>
      <c r="U190" s="481"/>
      <c r="V190" s="37"/>
      <c r="W190" s="37"/>
      <c r="X190" s="37"/>
      <c r="Y190" s="476"/>
      <c r="Z190" s="476"/>
      <c r="AA190" s="476"/>
      <c r="AB190" s="476"/>
      <c r="AC190" s="476"/>
      <c r="AD190" s="476"/>
      <c r="AE190" s="476"/>
      <c r="AF190" s="476"/>
      <c r="AG190" s="476"/>
    </row>
    <row r="191" spans="1:33" ht="18.75" customHeight="1" x14ac:dyDescent="0.3">
      <c r="A191" s="733"/>
      <c r="B191" s="42"/>
      <c r="C191" s="42"/>
      <c r="D191" s="41"/>
      <c r="E191" s="37"/>
      <c r="F191" s="37"/>
      <c r="G191" s="37"/>
      <c r="H191" s="37"/>
      <c r="I191" s="37"/>
      <c r="J191" s="37"/>
      <c r="K191" s="37"/>
      <c r="L191" s="72"/>
      <c r="M191" s="37"/>
      <c r="N191" s="139"/>
      <c r="O191" s="937"/>
      <c r="P191" s="42"/>
      <c r="Q191" s="494"/>
      <c r="R191" s="764"/>
      <c r="S191" s="769"/>
      <c r="T191" s="37"/>
      <c r="U191" s="395"/>
      <c r="V191" s="37"/>
      <c r="W191" s="37"/>
      <c r="X191" s="37"/>
      <c r="Y191" s="476"/>
      <c r="Z191" s="476"/>
      <c r="AA191" s="476"/>
      <c r="AB191" s="476"/>
      <c r="AC191" s="476"/>
      <c r="AD191" s="476"/>
      <c r="AE191" s="476"/>
      <c r="AF191" s="476"/>
      <c r="AG191" s="476"/>
    </row>
    <row r="192" spans="1:33" ht="18.75" customHeight="1" x14ac:dyDescent="0.3">
      <c r="A192" s="733"/>
      <c r="B192" s="42"/>
      <c r="C192" s="42"/>
      <c r="D192" s="41"/>
      <c r="E192" s="37"/>
      <c r="F192" s="37"/>
      <c r="G192" s="37"/>
      <c r="H192" s="37"/>
      <c r="I192" s="37"/>
      <c r="J192" s="37"/>
      <c r="K192" s="37"/>
      <c r="L192" s="72"/>
      <c r="M192" s="37"/>
      <c r="N192" s="139"/>
      <c r="O192" s="937"/>
      <c r="P192" s="42"/>
      <c r="Q192" s="494"/>
      <c r="R192" s="764"/>
      <c r="S192" s="769">
        <f>N192-Q192-R192</f>
        <v>0</v>
      </c>
      <c r="T192" s="37"/>
      <c r="U192" s="395"/>
      <c r="V192" s="37"/>
      <c r="W192" s="37"/>
      <c r="X192" s="37"/>
      <c r="Y192" s="476"/>
      <c r="Z192" s="476"/>
      <c r="AA192" s="476"/>
      <c r="AB192" s="476"/>
      <c r="AC192" s="476"/>
      <c r="AD192" s="476"/>
      <c r="AE192" s="476"/>
      <c r="AF192" s="476"/>
      <c r="AG192" s="476"/>
    </row>
    <row r="193" spans="19:19" ht="18.75" customHeight="1" x14ac:dyDescent="0.3">
      <c r="S193" s="769">
        <f t="shared" ref="S193:S211" si="60">N193-Q193-R193</f>
        <v>0</v>
      </c>
    </row>
    <row r="194" spans="19:19" ht="18.75" customHeight="1" x14ac:dyDescent="0.3">
      <c r="S194" s="769">
        <f t="shared" si="60"/>
        <v>0</v>
      </c>
    </row>
    <row r="195" spans="19:19" ht="18.75" customHeight="1" x14ac:dyDescent="0.3">
      <c r="S195" s="769">
        <f t="shared" si="60"/>
        <v>0</v>
      </c>
    </row>
    <row r="196" spans="19:19" ht="18.75" customHeight="1" x14ac:dyDescent="0.3">
      <c r="S196" s="769">
        <f t="shared" si="60"/>
        <v>0</v>
      </c>
    </row>
    <row r="197" spans="19:19" ht="18.75" customHeight="1" x14ac:dyDescent="0.3">
      <c r="S197" s="769">
        <f t="shared" si="60"/>
        <v>0</v>
      </c>
    </row>
    <row r="198" spans="19:19" ht="18.75" customHeight="1" x14ac:dyDescent="0.3">
      <c r="S198" s="769">
        <f t="shared" si="60"/>
        <v>0</v>
      </c>
    </row>
    <row r="199" spans="19:19" ht="18.75" customHeight="1" x14ac:dyDescent="0.3">
      <c r="S199" s="769">
        <f t="shared" si="60"/>
        <v>0</v>
      </c>
    </row>
    <row r="200" spans="19:19" ht="18.75" customHeight="1" x14ac:dyDescent="0.3">
      <c r="S200" s="769">
        <f t="shared" si="60"/>
        <v>0</v>
      </c>
    </row>
    <row r="201" spans="19:19" ht="18.75" customHeight="1" x14ac:dyDescent="0.3">
      <c r="S201" s="769">
        <f t="shared" si="60"/>
        <v>0</v>
      </c>
    </row>
    <row r="202" spans="19:19" ht="18.75" customHeight="1" x14ac:dyDescent="0.3">
      <c r="S202" s="769">
        <f t="shared" si="60"/>
        <v>0</v>
      </c>
    </row>
    <row r="203" spans="19:19" ht="18.75" customHeight="1" x14ac:dyDescent="0.3">
      <c r="S203" s="769">
        <f t="shared" si="60"/>
        <v>0</v>
      </c>
    </row>
    <row r="204" spans="19:19" ht="18.75" customHeight="1" x14ac:dyDescent="0.3">
      <c r="S204" s="769">
        <f t="shared" si="60"/>
        <v>0</v>
      </c>
    </row>
    <row r="205" spans="19:19" ht="18.75" customHeight="1" x14ac:dyDescent="0.3">
      <c r="S205" s="769">
        <f t="shared" si="60"/>
        <v>0</v>
      </c>
    </row>
    <row r="206" spans="19:19" ht="18.75" customHeight="1" x14ac:dyDescent="0.3">
      <c r="S206" s="769">
        <f t="shared" si="60"/>
        <v>0</v>
      </c>
    </row>
    <row r="207" spans="19:19" ht="18.75" customHeight="1" x14ac:dyDescent="0.3">
      <c r="S207" s="769">
        <f t="shared" si="60"/>
        <v>0</v>
      </c>
    </row>
    <row r="208" spans="19:19" ht="18.75" customHeight="1" x14ac:dyDescent="0.3">
      <c r="S208" s="769">
        <f t="shared" si="60"/>
        <v>0</v>
      </c>
    </row>
    <row r="209" spans="19:19" ht="18.75" customHeight="1" x14ac:dyDescent="0.3">
      <c r="S209" s="769">
        <f t="shared" si="60"/>
        <v>0</v>
      </c>
    </row>
    <row r="210" spans="19:19" ht="18.75" customHeight="1" x14ac:dyDescent="0.3">
      <c r="S210" s="769">
        <f t="shared" si="60"/>
        <v>0</v>
      </c>
    </row>
    <row r="211" spans="19:19" ht="18.75" customHeight="1" x14ac:dyDescent="0.3">
      <c r="S211" s="769">
        <f t="shared" si="60"/>
        <v>0</v>
      </c>
    </row>
    <row r="212" spans="19:19" ht="18.75" customHeight="1" x14ac:dyDescent="0.3">
      <c r="S212" s="769"/>
    </row>
    <row r="213" spans="19:19" ht="18.75" customHeight="1" x14ac:dyDescent="0.3">
      <c r="S213" s="769"/>
    </row>
    <row r="214" spans="19:19" ht="18.75" customHeight="1" x14ac:dyDescent="0.3">
      <c r="S214" s="769"/>
    </row>
    <row r="215" spans="19:19" ht="18.75" customHeight="1" x14ac:dyDescent="0.3">
      <c r="S215" s="769">
        <f t="shared" ref="S215" si="61">N215-Q215-R215</f>
        <v>0</v>
      </c>
    </row>
    <row r="216" spans="19:19" ht="18.75" customHeight="1" x14ac:dyDescent="0.3">
      <c r="S216" s="769">
        <f>N216-Q216-R216</f>
        <v>0</v>
      </c>
    </row>
    <row r="217" spans="19:19" ht="18.75" customHeight="1" x14ac:dyDescent="0.3">
      <c r="S217" s="769">
        <f t="shared" ref="S217:S235" si="62">N217-Q217-R217</f>
        <v>0</v>
      </c>
    </row>
    <row r="218" spans="19:19" ht="18.75" customHeight="1" x14ac:dyDescent="0.3">
      <c r="S218" s="769">
        <f t="shared" si="62"/>
        <v>0</v>
      </c>
    </row>
    <row r="219" spans="19:19" ht="18.75" customHeight="1" x14ac:dyDescent="0.3">
      <c r="S219" s="769">
        <f t="shared" si="62"/>
        <v>0</v>
      </c>
    </row>
    <row r="220" spans="19:19" ht="18.75" customHeight="1" x14ac:dyDescent="0.3">
      <c r="S220" s="769">
        <f t="shared" si="62"/>
        <v>0</v>
      </c>
    </row>
    <row r="221" spans="19:19" ht="18.75" customHeight="1" x14ac:dyDescent="0.3">
      <c r="S221" s="769">
        <f t="shared" si="62"/>
        <v>0</v>
      </c>
    </row>
    <row r="222" spans="19:19" ht="18.75" customHeight="1" x14ac:dyDescent="0.3">
      <c r="S222" s="769">
        <f t="shared" si="62"/>
        <v>0</v>
      </c>
    </row>
    <row r="223" spans="19:19" ht="18.75" customHeight="1" x14ac:dyDescent="0.3">
      <c r="S223" s="769">
        <f t="shared" si="62"/>
        <v>0</v>
      </c>
    </row>
    <row r="224" spans="19:19" ht="18.75" customHeight="1" x14ac:dyDescent="0.3">
      <c r="S224" s="769">
        <f t="shared" si="62"/>
        <v>0</v>
      </c>
    </row>
    <row r="225" spans="19:19" ht="18.75" customHeight="1" x14ac:dyDescent="0.3">
      <c r="S225" s="769">
        <f t="shared" si="62"/>
        <v>0</v>
      </c>
    </row>
    <row r="226" spans="19:19" ht="18.75" customHeight="1" x14ac:dyDescent="0.3">
      <c r="S226" s="769">
        <f t="shared" si="62"/>
        <v>0</v>
      </c>
    </row>
    <row r="227" spans="19:19" ht="18.75" customHeight="1" x14ac:dyDescent="0.3">
      <c r="S227" s="769">
        <f t="shared" si="62"/>
        <v>0</v>
      </c>
    </row>
    <row r="228" spans="19:19" ht="18.75" customHeight="1" x14ac:dyDescent="0.3">
      <c r="S228" s="769">
        <f t="shared" si="62"/>
        <v>0</v>
      </c>
    </row>
    <row r="229" spans="19:19" ht="18.75" customHeight="1" x14ac:dyDescent="0.3">
      <c r="S229" s="769">
        <f t="shared" si="62"/>
        <v>0</v>
      </c>
    </row>
    <row r="230" spans="19:19" ht="18.75" customHeight="1" x14ac:dyDescent="0.3">
      <c r="S230" s="769">
        <f t="shared" si="62"/>
        <v>0</v>
      </c>
    </row>
    <row r="231" spans="19:19" ht="18.75" customHeight="1" x14ac:dyDescent="0.3">
      <c r="S231" s="769">
        <f t="shared" si="62"/>
        <v>0</v>
      </c>
    </row>
    <row r="232" spans="19:19" ht="18.75" customHeight="1" x14ac:dyDescent="0.3">
      <c r="S232" s="769">
        <f t="shared" si="62"/>
        <v>0</v>
      </c>
    </row>
    <row r="233" spans="19:19" ht="18.75" customHeight="1" x14ac:dyDescent="0.3">
      <c r="S233" s="769">
        <f t="shared" si="62"/>
        <v>0</v>
      </c>
    </row>
    <row r="234" spans="19:19" ht="18.75" customHeight="1" x14ac:dyDescent="0.3">
      <c r="S234" s="769">
        <f t="shared" si="62"/>
        <v>0</v>
      </c>
    </row>
    <row r="235" spans="19:19" ht="18.75" customHeight="1" x14ac:dyDescent="0.3">
      <c r="S235" s="769">
        <f t="shared" si="62"/>
        <v>0</v>
      </c>
    </row>
  </sheetData>
  <autoFilter ref="A2:U173" xr:uid="{00000000-0009-0000-0000-000008000000}"/>
  <mergeCells count="1">
    <mergeCell ref="I1:M1"/>
  </mergeCells>
  <conditionalFormatting sqref="T147:AG156 S148:S156">
    <cfRule type="cellIs" dxfId="544" priority="24" stopIfTrue="1" operator="lessThan">
      <formula>0</formula>
    </cfRule>
  </conditionalFormatting>
  <conditionalFormatting sqref="A2:AG2">
    <cfRule type="cellIs" dxfId="543" priority="55" stopIfTrue="1" operator="lessThan">
      <formula>0</formula>
    </cfRule>
  </conditionalFormatting>
  <conditionalFormatting sqref="T63:AG72 S64:S72">
    <cfRule type="cellIs" dxfId="542" priority="43" stopIfTrue="1" operator="lessThan">
      <formula>0</formula>
    </cfRule>
  </conditionalFormatting>
  <conditionalFormatting sqref="A188:N952 T188:AG952 S188:S191">
    <cfRule type="cellIs" dxfId="541" priority="91" stopIfTrue="1" operator="lessThan">
      <formula>0</formula>
    </cfRule>
  </conditionalFormatting>
  <conditionalFormatting sqref="P3:S6 O101:S104 O14:O15 P7:R7 O3:O9 P8:P9">
    <cfRule type="cellIs" dxfId="540" priority="57" stopIfTrue="1" operator="lessThan">
      <formula>0</formula>
    </cfRule>
  </conditionalFormatting>
  <conditionalFormatting sqref="O188:R211">
    <cfRule type="cellIs" dxfId="539" priority="87" stopIfTrue="1" operator="lessThan">
      <formula>0</formula>
    </cfRule>
  </conditionalFormatting>
  <conditionalFormatting sqref="P21:S21">
    <cfRule type="cellIs" dxfId="538" priority="52" stopIfTrue="1" operator="lessThan">
      <formula>0</formula>
    </cfRule>
  </conditionalFormatting>
  <conditionalFormatting sqref="O212:S215 O236:S238">
    <cfRule type="cellIs" dxfId="537" priority="211" stopIfTrue="1" operator="lessThan">
      <formula>0</formula>
    </cfRule>
  </conditionalFormatting>
  <conditionalFormatting sqref="T35:T37">
    <cfRule type="cellIs" dxfId="536" priority="51" stopIfTrue="1" operator="lessThan">
      <formula>0</formula>
    </cfRule>
  </conditionalFormatting>
  <conditionalFormatting sqref="P49:S49 O49:O57">
    <cfRule type="cellIs" dxfId="535" priority="45" stopIfTrue="1" operator="lessThan">
      <formula>0</formula>
    </cfRule>
  </conditionalFormatting>
  <conditionalFormatting sqref="P77:S77">
    <cfRule type="cellIs" dxfId="534" priority="39" stopIfTrue="1" operator="lessThan">
      <formula>0</formula>
    </cfRule>
  </conditionalFormatting>
  <conditionalFormatting sqref="P104:R113">
    <cfRule type="cellIs" dxfId="533" priority="33" stopIfTrue="1" operator="lessThan">
      <formula>0</formula>
    </cfRule>
  </conditionalFormatting>
  <conditionalFormatting sqref="P192:S192 S193:S211">
    <cfRule type="cellIs" dxfId="532" priority="170" stopIfTrue="1" operator="lessThan">
      <formula>0</formula>
    </cfRule>
  </conditionalFormatting>
  <conditionalFormatting sqref="P216:S216 O216:R235 S217:S235">
    <cfRule type="cellIs" dxfId="531" priority="166" stopIfTrue="1" operator="lessThan">
      <formula>0</formula>
    </cfRule>
  </conditionalFormatting>
  <conditionalFormatting sqref="O45:S48">
    <cfRule type="cellIs" dxfId="530" priority="56" stopIfTrue="1" operator="lessThan">
      <formula>0</formula>
    </cfRule>
  </conditionalFormatting>
  <conditionalFormatting sqref="S36:S44">
    <cfRule type="cellIs" dxfId="529" priority="50" stopIfTrue="1" operator="lessThan">
      <formula>0</formula>
    </cfRule>
  </conditionalFormatting>
  <conditionalFormatting sqref="T63:T65">
    <cfRule type="cellIs" dxfId="528" priority="44" stopIfTrue="1" operator="lessThan">
      <formula>0</formula>
    </cfRule>
  </conditionalFormatting>
  <conditionalFormatting sqref="T91:T93">
    <cfRule type="cellIs" dxfId="527" priority="38" stopIfTrue="1" operator="lessThan">
      <formula>0</formula>
    </cfRule>
  </conditionalFormatting>
  <conditionalFormatting sqref="P105:S105 O105:O113">
    <cfRule type="cellIs" dxfId="526" priority="32" stopIfTrue="1" operator="lessThan">
      <formula>0</formula>
    </cfRule>
  </conditionalFormatting>
  <conditionalFormatting sqref="S35 O16:R44">
    <cfRule type="cellIs" dxfId="525" priority="49" stopIfTrue="1" operator="lessThan">
      <formula>0</formula>
    </cfRule>
  </conditionalFormatting>
  <conditionalFormatting sqref="S92:S100">
    <cfRule type="cellIs" dxfId="524" priority="37" stopIfTrue="1" operator="lessThan">
      <formula>0</formula>
    </cfRule>
  </conditionalFormatting>
  <conditionalFormatting sqref="T161:T163">
    <cfRule type="cellIs" dxfId="523" priority="22" stopIfTrue="1" operator="lessThan">
      <formula>0</formula>
    </cfRule>
  </conditionalFormatting>
  <conditionalFormatting sqref="S11">
    <cfRule type="cellIs" dxfId="522" priority="9" stopIfTrue="1" operator="lessThan">
      <formula>0</formula>
    </cfRule>
  </conditionalFormatting>
  <conditionalFormatting sqref="T8:AG9">
    <cfRule type="cellIs" dxfId="521" priority="12" stopIfTrue="1" operator="lessThan">
      <formula>0</formula>
    </cfRule>
  </conditionalFormatting>
  <conditionalFormatting sqref="B8:M9">
    <cfRule type="cellIs" dxfId="520" priority="11" stopIfTrue="1" operator="lessThan">
      <formula>0</formula>
    </cfRule>
  </conditionalFormatting>
  <conditionalFormatting sqref="Q8:S8">
    <cfRule type="cellIs" dxfId="519" priority="13" stopIfTrue="1" operator="lessThan">
      <formula>0</formula>
    </cfRule>
  </conditionalFormatting>
  <conditionalFormatting sqref="Q8:R9">
    <cfRule type="cellIs" dxfId="518" priority="14" stopIfTrue="1" operator="lessThan">
      <formula>0</formula>
    </cfRule>
  </conditionalFormatting>
  <conditionalFormatting sqref="T10:T11">
    <cfRule type="cellIs" dxfId="517" priority="10" stopIfTrue="1" operator="lessThan">
      <formula>0</formula>
    </cfRule>
  </conditionalFormatting>
  <conditionalFormatting sqref="A21:A23">
    <cfRule type="cellIs" dxfId="516" priority="2" stopIfTrue="1" operator="lessThan">
      <formula>0</formula>
    </cfRule>
  </conditionalFormatting>
  <conditionalFormatting sqref="B10:N11">
    <cfRule type="cellIs" dxfId="515" priority="5" stopIfTrue="1" operator="lessThan">
      <formula>0</formula>
    </cfRule>
  </conditionalFormatting>
  <conditionalFormatting sqref="A10:A13">
    <cfRule type="cellIs" dxfId="514" priority="4" stopIfTrue="1" operator="lessThan">
      <formula>0</formula>
    </cfRule>
  </conditionalFormatting>
  <conditionalFormatting sqref="T10:AG11">
    <cfRule type="cellIs" dxfId="513" priority="6" stopIfTrue="1" operator="lessThan">
      <formula>0</formula>
    </cfRule>
  </conditionalFormatting>
  <conditionalFormatting sqref="P10:S10 O10:O13">
    <cfRule type="cellIs" dxfId="512" priority="7" stopIfTrue="1" operator="lessThan">
      <formula>0</formula>
    </cfRule>
  </conditionalFormatting>
  <conditionalFormatting sqref="B21:B23">
    <cfRule type="cellIs" dxfId="511" priority="3" stopIfTrue="1" operator="lessThan">
      <formula>0</formula>
    </cfRule>
  </conditionalFormatting>
  <conditionalFormatting sqref="B35:B38">
    <cfRule type="cellIs" dxfId="510" priority="1" stopIfTrue="1" operator="lessThan">
      <formula>0</formula>
    </cfRule>
  </conditionalFormatting>
  <conditionalFormatting sqref="A3:N6 B7:M7 A14:N20 B12:N13 N7:N9 A24:N34 C21:N23 A35:A38 C35:N38 A39:N58">
    <cfRule type="cellIs" dxfId="509" priority="18" stopIfTrue="1" operator="lessThan">
      <formula>0</formula>
    </cfRule>
  </conditionalFormatting>
  <conditionalFormatting sqref="A63:N114 T91:AG114 S106:S114 O114:R114">
    <cfRule type="cellIs" dxfId="508" priority="34" stopIfTrue="1" operator="lessThan">
      <formula>0</formula>
    </cfRule>
  </conditionalFormatting>
  <conditionalFormatting sqref="A119:N142 T133:AG142 S134:S142">
    <cfRule type="cellIs" dxfId="507" priority="27" stopIfTrue="1" operator="lessThan">
      <formula>0</formula>
    </cfRule>
  </conditionalFormatting>
  <conditionalFormatting sqref="A147:N187 T161:AG187 S162:S187">
    <cfRule type="cellIs" dxfId="506" priority="21" stopIfTrue="1" operator="lessThan">
      <formula>0</formula>
    </cfRule>
  </conditionalFormatting>
  <conditionalFormatting sqref="D4">
    <cfRule type="cellIs" dxfId="505" priority="19" operator="lessThan">
      <formula>0</formula>
    </cfRule>
  </conditionalFormatting>
  <conditionalFormatting sqref="O63:R100 S91">
    <cfRule type="cellIs" dxfId="504" priority="36" stopIfTrue="1" operator="lessThan">
      <formula>0</formula>
    </cfRule>
  </conditionalFormatting>
  <conditionalFormatting sqref="O147:R187 S161">
    <cfRule type="cellIs" dxfId="503" priority="20" stopIfTrue="1" operator="lessThan">
      <formula>0</formula>
    </cfRule>
  </conditionalFormatting>
  <conditionalFormatting sqref="P7:R7 P14:R15 P8:P9 R12:R13">
    <cfRule type="cellIs" dxfId="502" priority="58" stopIfTrue="1" operator="lessThan">
      <formula>0</formula>
    </cfRule>
  </conditionalFormatting>
  <conditionalFormatting sqref="P48:R57">
    <cfRule type="cellIs" dxfId="501" priority="46" stopIfTrue="1" operator="lessThan">
      <formula>0</formula>
    </cfRule>
  </conditionalFormatting>
  <conditionalFormatting sqref="P63:S63">
    <cfRule type="cellIs" dxfId="500" priority="42" stopIfTrue="1" operator="lessThan">
      <formula>0</formula>
    </cfRule>
  </conditionalFormatting>
  <conditionalFormatting sqref="P119:S119 P120:R128 O119:O128">
    <cfRule type="cellIs" dxfId="499" priority="29" stopIfTrue="1" operator="lessThan">
      <formula>0</formula>
    </cfRule>
  </conditionalFormatting>
  <conditionalFormatting sqref="P133:S133 P134:R142 O133:O142">
    <cfRule type="cellIs" dxfId="498" priority="26" stopIfTrue="1" operator="lessThan">
      <formula>0</formula>
    </cfRule>
  </conditionalFormatting>
  <conditionalFormatting sqref="P147:S147">
    <cfRule type="cellIs" dxfId="497" priority="23" stopIfTrue="1" operator="lessThan">
      <formula>0</formula>
    </cfRule>
  </conditionalFormatting>
  <conditionalFormatting sqref="S31:AG34 A59:AG62 S73:AG76 S87:AG90 A115:AG118 O129:AG132 A143:AG146 S157:AG160 S12:S20 S7">
    <cfRule type="cellIs" dxfId="496" priority="59" stopIfTrue="1" operator="lessThan">
      <formula>0</formula>
    </cfRule>
  </conditionalFormatting>
  <conditionalFormatting sqref="T7">
    <cfRule type="cellIs" dxfId="495" priority="60" stopIfTrue="1" operator="lessThan">
      <formula>0</formula>
    </cfRule>
  </conditionalFormatting>
  <conditionalFormatting sqref="T21:T23">
    <cfRule type="cellIs" dxfId="494" priority="54" stopIfTrue="1" operator="lessThan">
      <formula>0</formula>
    </cfRule>
  </conditionalFormatting>
  <conditionalFormatting sqref="T49:T51">
    <cfRule type="cellIs" dxfId="493" priority="48" stopIfTrue="1" operator="lessThan">
      <formula>0</formula>
    </cfRule>
  </conditionalFormatting>
  <conditionalFormatting sqref="T77:T79">
    <cfRule type="cellIs" dxfId="492" priority="41" stopIfTrue="1" operator="lessThan">
      <formula>0</formula>
    </cfRule>
  </conditionalFormatting>
  <conditionalFormatting sqref="T105:T107">
    <cfRule type="cellIs" dxfId="491" priority="35" stopIfTrue="1" operator="lessThan">
      <formula>0</formula>
    </cfRule>
  </conditionalFormatting>
  <conditionalFormatting sqref="T119:T121">
    <cfRule type="cellIs" dxfId="490" priority="31" stopIfTrue="1" operator="lessThan">
      <formula>0</formula>
    </cfRule>
  </conditionalFormatting>
  <conditionalFormatting sqref="T133:T135">
    <cfRule type="cellIs" dxfId="489" priority="28" stopIfTrue="1" operator="lessThan">
      <formula>0</formula>
    </cfRule>
  </conditionalFormatting>
  <conditionalFormatting sqref="T147:T149">
    <cfRule type="cellIs" dxfId="488" priority="25" stopIfTrue="1" operator="lessThan">
      <formula>0</formula>
    </cfRule>
  </conditionalFormatting>
  <conditionalFormatting sqref="T3:AG7 S22:S30 T12:AG30">
    <cfRule type="cellIs" dxfId="487" priority="53" stopIfTrue="1" operator="lessThan">
      <formula>0</formula>
    </cfRule>
  </conditionalFormatting>
  <conditionalFormatting sqref="T35:AG58 S50:S58 O58:R58">
    <cfRule type="cellIs" dxfId="486" priority="47" stopIfTrue="1" operator="lessThan">
      <formula>0</formula>
    </cfRule>
  </conditionalFormatting>
  <conditionalFormatting sqref="T77:AG86 S78:S86">
    <cfRule type="cellIs" dxfId="485" priority="40" stopIfTrue="1" operator="lessThan">
      <formula>0</formula>
    </cfRule>
  </conditionalFormatting>
  <conditionalFormatting sqref="T119:AG128 S120:S128">
    <cfRule type="cellIs" dxfId="484" priority="30" stopIfTrue="1" operator="lessThan">
      <formula>0</formula>
    </cfRule>
  </conditionalFormatting>
  <conditionalFormatting sqref="A7:A9">
    <cfRule type="cellIs" dxfId="483" priority="17" stopIfTrue="1" operator="lessThan">
      <formula>0</formula>
    </cfRule>
  </conditionalFormatting>
  <conditionalFormatting sqref="S9">
    <cfRule type="cellIs" dxfId="482" priority="15" stopIfTrue="1" operator="lessThan">
      <formula>0</formula>
    </cfRule>
  </conditionalFormatting>
  <conditionalFormatting sqref="T8:T9">
    <cfRule type="cellIs" dxfId="481" priority="16" stopIfTrue="1" operator="lessThan">
      <formula>0</formula>
    </cfRule>
  </conditionalFormatting>
  <conditionalFormatting sqref="P10:R11 P12:Q13">
    <cfRule type="cellIs" dxfId="480" priority="8" stopIfTrue="1" operator="lessThan">
      <formula>0</formula>
    </cfRule>
  </conditionalFormatting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6</vt:i4>
      </vt:variant>
    </vt:vector>
  </HeadingPairs>
  <TitlesOfParts>
    <vt:vector size="32" baseType="lpstr">
      <vt:lpstr>สรุปเบิก ม.ค. 68</vt:lpstr>
      <vt:lpstr>ใบกัน+GF ม.ค. 68</vt:lpstr>
      <vt:lpstr>รวมใบกัน ม.ค. 68</vt:lpstr>
      <vt:lpstr>ใบกัน 100</vt:lpstr>
      <vt:lpstr>ใบกัน 260</vt:lpstr>
      <vt:lpstr>ใบกัน 300-400(ภาครัฐ)</vt:lpstr>
      <vt:lpstr>ใบกัน 300</vt:lpstr>
      <vt:lpstr>ใบกัน 400</vt:lpstr>
      <vt:lpstr>ใบกัน 450</vt:lpstr>
      <vt:lpstr>ใบกัน 500</vt:lpstr>
      <vt:lpstr>ใบกัน 600</vt:lpstr>
      <vt:lpstr>ใบกัน 900-ดำเนินงาน</vt:lpstr>
      <vt:lpstr>ใบกัน 900-ลงทุน</vt:lpstr>
      <vt:lpstr>GF ม.ค. 68</vt:lpstr>
      <vt:lpstr>GF 100</vt:lpstr>
      <vt:lpstr>GF 260</vt:lpstr>
      <vt:lpstr>GF 300-400(ภาครัฐ)</vt:lpstr>
      <vt:lpstr>GF 300</vt:lpstr>
      <vt:lpstr>GF 400</vt:lpstr>
      <vt:lpstr>GF 450</vt:lpstr>
      <vt:lpstr>GF 500</vt:lpstr>
      <vt:lpstr>GF 600</vt:lpstr>
      <vt:lpstr>GF 900 - งบกลาง</vt:lpstr>
      <vt:lpstr>GF 900-ดำเนินงาน</vt:lpstr>
      <vt:lpstr>GF 900-ลงทุน</vt:lpstr>
      <vt:lpstr>คชจ.เป็น JOB</vt:lpstr>
      <vt:lpstr>'GF ม.ค. 68'!Print_Area</vt:lpstr>
      <vt:lpstr>'ใบกัน+GF ม.ค. 68'!Print_Area</vt:lpstr>
      <vt:lpstr>'รวมใบกัน ม.ค. 68'!Print_Area</vt:lpstr>
      <vt:lpstr>'GF ม.ค. 68'!Print_Titles</vt:lpstr>
      <vt:lpstr>'ใบกัน+GF ม.ค. 68'!Print_Titles</vt:lpstr>
      <vt:lpstr>'รวมใบกัน ม.ค. 68'!Print_Titles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ธนธรน์ พงศ์พิพัฒน์พิทยา</cp:lastModifiedBy>
  <cp:lastPrinted>2025-03-18T06:46:28Z</cp:lastPrinted>
  <dcterms:created xsi:type="dcterms:W3CDTF">2015-06-05T18:17:20Z</dcterms:created>
  <dcterms:modified xsi:type="dcterms:W3CDTF">2025-03-18T06:57:32Z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abf2e680-39a9-4048-be0a-5dd08278f62e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daUHW3xwbKfYP2XnI5VwiKXU1/0uR+ub</vt:lpwstr>
  </property>
  <property fmtid="{D5CDD505-2E9C-101B-9397-08002B2CF9AE}" pid="5" name="bjClsUserRVM">
    <vt:lpwstr>[]</vt:lpwstr>
  </property>
</Properties>
</file>