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ต้นทุนปี 2562-file พี่อ้อ\ต้นทุน 62 - 26.02.62 - ผู้บริหาร 0301100014 กระจาย -ล่าสุด\ไฟล์ส่งกรมบัญชีกลาง 2562\"/>
    </mc:Choice>
  </mc:AlternateContent>
  <bookViews>
    <workbookView xWindow="14505" yWindow="6405" windowWidth="14310" windowHeight="6435" tabRatio="712"/>
  </bookViews>
  <sheets>
    <sheet name="ตารางที่ 1-62" sheetId="29" r:id="rId1"/>
    <sheet name="ตารางที่ 2-62" sheetId="30" r:id="rId2"/>
    <sheet name="ตารางที่ 3-62" sheetId="57" r:id="rId3"/>
    <sheet name="ตารางที่ 4-62" sheetId="33" r:id="rId4"/>
    <sheet name="ตารางที่ 5-62" sheetId="41" r:id="rId5"/>
    <sheet name="ตารางที่ 6-62" sheetId="42" r:id="rId6"/>
    <sheet name="ตารางที่ 7-62" sheetId="58" r:id="rId7"/>
    <sheet name="ตารางที่ 8-62" sheetId="35" r:id="rId8"/>
    <sheet name="ตารางที่ 9-62" sheetId="44" r:id="rId9"/>
    <sheet name="ตารางที่ 10-62" sheetId="45" r:id="rId10"/>
    <sheet name="ตารางที่ 11-62" sheetId="46" r:id="rId11"/>
    <sheet name="ตารางที่ 12-62" sheetId="47" r:id="rId12"/>
    <sheet name="รายงานสรุป - 62" sheetId="48" r:id="rId13"/>
  </sheets>
  <definedNames>
    <definedName name="_xlnm._FilterDatabase" localSheetId="6" hidden="1">'ตารางที่ 7-62'!$U$1:$W$83</definedName>
    <definedName name="_xlnm.Print_Area" localSheetId="9">'ตารางที่ 10-62'!$A$1:$T$15</definedName>
    <definedName name="_xlnm.Print_Area" localSheetId="10">'ตารางที่ 11-62'!$A$1:$Y$41</definedName>
    <definedName name="_xlnm.Print_Area" localSheetId="11">'ตารางที่ 12-62'!$A$1:$K$26</definedName>
    <definedName name="_xlnm.Print_Area" localSheetId="0">'ตารางที่ 1-62'!$A$1:$F$45</definedName>
    <definedName name="_xlnm.Print_Area" localSheetId="1">'ตารางที่ 2-62'!$A$1:$P$26</definedName>
    <definedName name="_xlnm.Print_Area" localSheetId="2">'ตารางที่ 3-62'!$A$1:$J$63</definedName>
    <definedName name="_xlnm.Print_Area" localSheetId="3">'ตารางที่ 4-62'!$A$1:$J$20</definedName>
    <definedName name="_xlnm.Print_Area" localSheetId="6">'ตารางที่ 7-62'!$A$1:$X$76</definedName>
    <definedName name="_xlnm.Print_Area" localSheetId="8">'ตารางที่ 9-62'!$A$1:$T$22</definedName>
    <definedName name="_xlnm.Print_Area" localSheetId="12">'รายงานสรุป - 62'!$A$1:$G$129</definedName>
    <definedName name="_xlnm.Print_Titles" localSheetId="9">'ตารางที่ 10-62'!$1:$5</definedName>
    <definedName name="_xlnm.Print_Titles" localSheetId="10">'ตารางที่ 11-62'!$1:$6</definedName>
    <definedName name="_xlnm.Print_Titles" localSheetId="6">'ตารางที่ 7-62'!$1:$5</definedName>
    <definedName name="_xlnm.Print_Titles" localSheetId="7">'ตารางที่ 8-62'!$1:$5</definedName>
    <definedName name="_xlnm.Print_Titles" localSheetId="8">'ตารางที่ 9-62'!$1:$5</definedName>
  </definedNames>
  <calcPr calcId="162913" fullCalcOnLoad="1"/>
</workbook>
</file>

<file path=xl/calcChain.xml><?xml version="1.0" encoding="utf-8"?>
<calcChain xmlns="http://schemas.openxmlformats.org/spreadsheetml/2006/main">
  <c r="N6" i="35" l="1"/>
  <c r="N7" i="35"/>
  <c r="Q7" i="35" s="1"/>
  <c r="T7" i="35" s="1"/>
  <c r="N8" i="35"/>
  <c r="N9" i="35"/>
  <c r="N10" i="35"/>
  <c r="Q10" i="35" s="1"/>
  <c r="T10" i="35" s="1"/>
  <c r="N11" i="35"/>
  <c r="N12" i="35"/>
  <c r="Q12" i="35" s="1"/>
  <c r="T12" i="35" s="1"/>
  <c r="N13" i="35"/>
  <c r="N14" i="35"/>
  <c r="N15" i="35"/>
  <c r="Q9" i="35"/>
  <c r="T9" i="35" s="1"/>
  <c r="Q13" i="35"/>
  <c r="T13" i="35" s="1"/>
  <c r="G18" i="33"/>
  <c r="F18" i="33"/>
  <c r="Q41" i="58"/>
  <c r="F51" i="48"/>
  <c r="R21" i="46"/>
  <c r="R15" i="46"/>
  <c r="R6" i="45"/>
  <c r="T6" i="45"/>
  <c r="S6" i="45"/>
  <c r="T10" i="44"/>
  <c r="R10" i="44"/>
  <c r="T6" i="44"/>
  <c r="S6" i="44"/>
  <c r="R6" i="44"/>
  <c r="J12" i="44"/>
  <c r="K12" i="44"/>
  <c r="L12" i="44"/>
  <c r="M12" i="44"/>
  <c r="V9" i="58"/>
  <c r="V11" i="58"/>
  <c r="C4" i="41"/>
  <c r="C28" i="57"/>
  <c r="J29" i="57"/>
  <c r="J28" i="57"/>
  <c r="J23" i="57"/>
  <c r="J12" i="57"/>
  <c r="J10" i="57"/>
  <c r="J8" i="57"/>
  <c r="J7" i="57"/>
  <c r="J5" i="57"/>
  <c r="M26" i="46"/>
  <c r="D24" i="30"/>
  <c r="B24" i="30"/>
  <c r="Q15" i="35"/>
  <c r="Q14" i="35"/>
  <c r="T14" i="35" s="1"/>
  <c r="Q11" i="35"/>
  <c r="T11" i="35" s="1"/>
  <c r="Q8" i="35"/>
  <c r="Q6" i="35"/>
  <c r="J16" i="35"/>
  <c r="K16" i="35"/>
  <c r="L16" i="35"/>
  <c r="M16" i="35"/>
  <c r="T29" i="58"/>
  <c r="T30" i="58"/>
  <c r="Q32" i="58"/>
  <c r="Q27" i="58"/>
  <c r="Q24" i="58"/>
  <c r="J9" i="41"/>
  <c r="J4" i="41"/>
  <c r="G4" i="41"/>
  <c r="D4" i="41"/>
  <c r="E4" i="41"/>
  <c r="F4" i="41"/>
  <c r="G40" i="57"/>
  <c r="G41" i="57"/>
  <c r="J41" i="57"/>
  <c r="G43" i="57"/>
  <c r="J43" i="57"/>
  <c r="G49" i="57"/>
  <c r="J49" i="57"/>
  <c r="G52" i="57"/>
  <c r="J52" i="57"/>
  <c r="G53" i="57"/>
  <c r="J53" i="57"/>
  <c r="G55" i="57"/>
  <c r="J55" i="57"/>
  <c r="C58" i="57"/>
  <c r="D58" i="57"/>
  <c r="E58" i="57"/>
  <c r="F58" i="57"/>
  <c r="D15" i="57"/>
  <c r="G48" i="57"/>
  <c r="J48" i="57"/>
  <c r="G58" i="57"/>
  <c r="J58" i="57"/>
  <c r="J32" i="57"/>
  <c r="J30" i="57"/>
  <c r="C29" i="57"/>
  <c r="F28" i="57"/>
  <c r="E28" i="57"/>
  <c r="D28" i="57"/>
  <c r="G29" i="57"/>
  <c r="G32" i="57"/>
  <c r="C32" i="57"/>
  <c r="J26" i="57"/>
  <c r="G26" i="57"/>
  <c r="J21" i="57"/>
  <c r="G19" i="57"/>
  <c r="C19" i="57"/>
  <c r="J13" i="57"/>
  <c r="F5" i="57"/>
  <c r="E5" i="57"/>
  <c r="G5" i="57"/>
  <c r="D5" i="57"/>
  <c r="C5" i="57"/>
  <c r="O9" i="30"/>
  <c r="H12" i="30"/>
  <c r="O16" i="30"/>
  <c r="O8" i="30"/>
  <c r="P8" i="30"/>
  <c r="O10" i="30"/>
  <c r="F43" i="29"/>
  <c r="F42" i="29"/>
  <c r="D18" i="33"/>
  <c r="G5" i="33"/>
  <c r="G16" i="33"/>
  <c r="E18" i="33"/>
  <c r="D14" i="47"/>
  <c r="E12" i="44"/>
  <c r="F12" i="44"/>
  <c r="E15" i="29"/>
  <c r="F4" i="42"/>
  <c r="U21" i="46"/>
  <c r="V21" i="46"/>
  <c r="Y21" i="46"/>
  <c r="N6" i="45"/>
  <c r="N6" i="44"/>
  <c r="Q6" i="44"/>
  <c r="N10" i="44"/>
  <c r="Q10" i="44"/>
  <c r="G9" i="41"/>
  <c r="P62" i="58"/>
  <c r="O62" i="58"/>
  <c r="N62" i="58"/>
  <c r="M62" i="58"/>
  <c r="H62" i="58"/>
  <c r="G62" i="58"/>
  <c r="F62" i="58"/>
  <c r="E62" i="58"/>
  <c r="V59" i="58"/>
  <c r="Q59" i="58"/>
  <c r="T59" i="58" s="1"/>
  <c r="W59" i="58" s="1"/>
  <c r="L59" i="58"/>
  <c r="Q57" i="58"/>
  <c r="T57" i="58" s="1"/>
  <c r="W57" i="58" s="1"/>
  <c r="L57" i="58"/>
  <c r="V56" i="58"/>
  <c r="Q56" i="58"/>
  <c r="U56" i="58"/>
  <c r="L56" i="58"/>
  <c r="V53" i="58"/>
  <c r="Q53" i="58"/>
  <c r="U53" i="58"/>
  <c r="L53" i="58"/>
  <c r="V50" i="58"/>
  <c r="Q50" i="58"/>
  <c r="T50" i="58"/>
  <c r="W50" i="58" s="1"/>
  <c r="L50" i="58"/>
  <c r="V49" i="58"/>
  <c r="Q49" i="58"/>
  <c r="U49" i="58" s="1"/>
  <c r="L49" i="58"/>
  <c r="V48" i="58"/>
  <c r="Q48" i="58"/>
  <c r="T48" i="58" s="1"/>
  <c r="W48" i="58" s="1"/>
  <c r="L48" i="58"/>
  <c r="V47" i="58"/>
  <c r="Q47" i="58"/>
  <c r="U47" i="58"/>
  <c r="L47" i="58"/>
  <c r="V45" i="58"/>
  <c r="Q45" i="58"/>
  <c r="U45" i="58"/>
  <c r="T45" i="58"/>
  <c r="W45" i="58"/>
  <c r="L45" i="58"/>
  <c r="V44" i="58"/>
  <c r="Q44" i="58"/>
  <c r="T44" i="58"/>
  <c r="W44" i="58" s="1"/>
  <c r="L44" i="58"/>
  <c r="V43" i="58"/>
  <c r="Q43" i="58"/>
  <c r="T43" i="58" s="1"/>
  <c r="W43" i="58" s="1"/>
  <c r="L43" i="58"/>
  <c r="V42" i="58"/>
  <c r="Q42" i="58"/>
  <c r="U42" i="58"/>
  <c r="L42" i="58"/>
  <c r="W42" i="58"/>
  <c r="V41" i="58"/>
  <c r="T41" i="58"/>
  <c r="W41" i="58" s="1"/>
  <c r="L41" i="58"/>
  <c r="V40" i="58"/>
  <c r="Q40" i="58"/>
  <c r="T40" i="58" s="1"/>
  <c r="W40" i="58" s="1"/>
  <c r="L40" i="58"/>
  <c r="V39" i="58"/>
  <c r="Q39" i="58"/>
  <c r="T39" i="58"/>
  <c r="W39" i="58" s="1"/>
  <c r="L39" i="58"/>
  <c r="V38" i="58"/>
  <c r="Q38" i="58"/>
  <c r="U38" i="58" s="1"/>
  <c r="L38" i="58"/>
  <c r="V37" i="58"/>
  <c r="Q37" i="58"/>
  <c r="U37" i="58" s="1"/>
  <c r="L37" i="58"/>
  <c r="V36" i="58"/>
  <c r="Q36" i="58"/>
  <c r="U36" i="58"/>
  <c r="T36" i="58"/>
  <c r="W36" i="58"/>
  <c r="L36" i="58"/>
  <c r="V34" i="58"/>
  <c r="Q34" i="58"/>
  <c r="T34" i="58"/>
  <c r="W34" i="58" s="1"/>
  <c r="L34" i="58"/>
  <c r="V32" i="58"/>
  <c r="U32" i="58"/>
  <c r="L32" i="58"/>
  <c r="L31" i="58"/>
  <c r="V30" i="58"/>
  <c r="U30" i="58"/>
  <c r="L30" i="58"/>
  <c r="W30" i="58"/>
  <c r="V29" i="58"/>
  <c r="U29" i="58"/>
  <c r="L29" i="58"/>
  <c r="W29" i="58"/>
  <c r="V27" i="58"/>
  <c r="T27" i="58"/>
  <c r="W27" i="58" s="1"/>
  <c r="L27" i="58"/>
  <c r="V24" i="58"/>
  <c r="U24" i="58"/>
  <c r="L24" i="58"/>
  <c r="V22" i="58"/>
  <c r="Q22" i="58"/>
  <c r="U22" i="58"/>
  <c r="L22" i="58"/>
  <c r="V20" i="58"/>
  <c r="Q20" i="58"/>
  <c r="T20" i="58"/>
  <c r="W20" i="58" s="1"/>
  <c r="L20" i="58"/>
  <c r="V17" i="58"/>
  <c r="Q17" i="58"/>
  <c r="T17" i="58" s="1"/>
  <c r="W17" i="58" s="1"/>
  <c r="L17" i="58"/>
  <c r="V15" i="58"/>
  <c r="Q15" i="58"/>
  <c r="T15" i="58" s="1"/>
  <c r="W15" i="58" s="1"/>
  <c r="L15" i="58"/>
  <c r="V13" i="58"/>
  <c r="Q13" i="58"/>
  <c r="U13" i="58"/>
  <c r="L13" i="58"/>
  <c r="V12" i="58"/>
  <c r="Q12" i="58"/>
  <c r="U12" i="58" s="1"/>
  <c r="I12" i="58"/>
  <c r="L12" i="58" s="1"/>
  <c r="W12" i="58" s="1"/>
  <c r="Q11" i="58"/>
  <c r="T11" i="58"/>
  <c r="W11" i="58" s="1"/>
  <c r="I11" i="58"/>
  <c r="L11" i="58"/>
  <c r="Q9" i="58"/>
  <c r="T9" i="58" s="1"/>
  <c r="W9" i="58" s="1"/>
  <c r="U9" i="58"/>
  <c r="I9" i="58"/>
  <c r="L9" i="58" s="1"/>
  <c r="V8" i="58"/>
  <c r="Q8" i="58"/>
  <c r="U8" i="58" s="1"/>
  <c r="I8" i="58"/>
  <c r="L8" i="58" s="1"/>
  <c r="V7" i="58"/>
  <c r="Q7" i="58"/>
  <c r="T7" i="58" s="1"/>
  <c r="I7" i="58"/>
  <c r="I62" i="58" s="1"/>
  <c r="G60" i="57"/>
  <c r="J60" i="57"/>
  <c r="G57" i="57"/>
  <c r="J57" i="57"/>
  <c r="G46" i="57"/>
  <c r="J46" i="57"/>
  <c r="G45" i="57"/>
  <c r="J45" i="57"/>
  <c r="G44" i="57"/>
  <c r="J44" i="57"/>
  <c r="G42" i="57"/>
  <c r="J42" i="57"/>
  <c r="G30" i="57"/>
  <c r="G23" i="57"/>
  <c r="G21" i="57"/>
  <c r="J19" i="57"/>
  <c r="G17" i="57"/>
  <c r="J17" i="57"/>
  <c r="G15" i="57"/>
  <c r="J15" i="57"/>
  <c r="G13" i="57"/>
  <c r="G12" i="57"/>
  <c r="G10" i="57"/>
  <c r="G8" i="57"/>
  <c r="G7" i="57"/>
  <c r="K22" i="46"/>
  <c r="L22" i="46"/>
  <c r="K21" i="46"/>
  <c r="L21" i="46"/>
  <c r="K23" i="46"/>
  <c r="L23" i="46"/>
  <c r="K24" i="46"/>
  <c r="K25" i="46"/>
  <c r="K11" i="46"/>
  <c r="L11" i="46"/>
  <c r="K12" i="46"/>
  <c r="L12" i="46"/>
  <c r="K13" i="46"/>
  <c r="L13" i="46"/>
  <c r="K14" i="46"/>
  <c r="L14" i="46"/>
  <c r="K15" i="46"/>
  <c r="L15" i="46"/>
  <c r="K16" i="46"/>
  <c r="L16" i="46"/>
  <c r="K17" i="46"/>
  <c r="L17" i="46"/>
  <c r="K18" i="46"/>
  <c r="L18" i="46"/>
  <c r="K19" i="46"/>
  <c r="L19" i="46"/>
  <c r="K10" i="46"/>
  <c r="L10" i="46"/>
  <c r="R7" i="35"/>
  <c r="R8" i="35"/>
  <c r="N16" i="35"/>
  <c r="R14" i="35"/>
  <c r="R15" i="35"/>
  <c r="I4" i="42"/>
  <c r="D6" i="42"/>
  <c r="T26" i="46"/>
  <c r="J26" i="46"/>
  <c r="N26" i="46"/>
  <c r="H13" i="47"/>
  <c r="K13" i="47"/>
  <c r="H12" i="47"/>
  <c r="K12" i="47"/>
  <c r="H11" i="47"/>
  <c r="K11" i="47"/>
  <c r="H9" i="47"/>
  <c r="H8" i="47"/>
  <c r="K8" i="47"/>
  <c r="F14" i="47"/>
  <c r="U22" i="46"/>
  <c r="X22" i="46"/>
  <c r="U23" i="46"/>
  <c r="X23" i="46"/>
  <c r="U24" i="46"/>
  <c r="X24" i="46"/>
  <c r="U25" i="46"/>
  <c r="V25" i="46"/>
  <c r="Y25" i="46"/>
  <c r="U11" i="46"/>
  <c r="X11" i="46"/>
  <c r="U12" i="46"/>
  <c r="U13" i="46"/>
  <c r="X13" i="46"/>
  <c r="U14" i="46"/>
  <c r="X14" i="46"/>
  <c r="U15" i="46"/>
  <c r="X15" i="46"/>
  <c r="U16" i="46"/>
  <c r="V16" i="46"/>
  <c r="Y16" i="46"/>
  <c r="U17" i="46"/>
  <c r="X17" i="46"/>
  <c r="U18" i="46"/>
  <c r="X18" i="46"/>
  <c r="U19" i="46"/>
  <c r="X19" i="46"/>
  <c r="U10" i="46"/>
  <c r="X10" i="46"/>
  <c r="P26" i="46"/>
  <c r="S26" i="46"/>
  <c r="M24" i="30"/>
  <c r="O19" i="30"/>
  <c r="O13" i="30"/>
  <c r="O14" i="30"/>
  <c r="O11" i="30"/>
  <c r="O24" i="30"/>
  <c r="O12" i="30"/>
  <c r="O15" i="30"/>
  <c r="O17" i="30"/>
  <c r="H20" i="30"/>
  <c r="P20" i="30"/>
  <c r="H21" i="30"/>
  <c r="P21" i="30"/>
  <c r="H22" i="30"/>
  <c r="P22" i="30"/>
  <c r="H23" i="30"/>
  <c r="P23" i="30"/>
  <c r="H9" i="30"/>
  <c r="H10" i="30"/>
  <c r="H11" i="30"/>
  <c r="H13" i="30"/>
  <c r="H14" i="30"/>
  <c r="H15" i="30"/>
  <c r="H16" i="30"/>
  <c r="H17" i="30"/>
  <c r="H8" i="30"/>
  <c r="G24" i="30"/>
  <c r="D15" i="29"/>
  <c r="C15" i="29"/>
  <c r="F13" i="29"/>
  <c r="F12" i="29"/>
  <c r="D52" i="48"/>
  <c r="I8" i="47"/>
  <c r="E8" i="47"/>
  <c r="E14" i="47"/>
  <c r="I6" i="45"/>
  <c r="F6" i="45"/>
  <c r="I10" i="44"/>
  <c r="I6" i="44"/>
  <c r="O11" i="46"/>
  <c r="Q11" i="46"/>
  <c r="O12" i="46"/>
  <c r="Q12" i="46"/>
  <c r="V12" i="46"/>
  <c r="Y12" i="46"/>
  <c r="O13" i="46"/>
  <c r="Q13" i="46"/>
  <c r="O14" i="46"/>
  <c r="Q14" i="46"/>
  <c r="O15" i="46"/>
  <c r="Q15" i="46"/>
  <c r="O16" i="46"/>
  <c r="Q16" i="46"/>
  <c r="O17" i="46"/>
  <c r="Q17" i="46"/>
  <c r="W17" i="46"/>
  <c r="O18" i="46"/>
  <c r="Q18" i="46"/>
  <c r="W18" i="46"/>
  <c r="O19" i="46"/>
  <c r="Q19" i="46"/>
  <c r="O21" i="46"/>
  <c r="Q21" i="46"/>
  <c r="O22" i="46"/>
  <c r="Q22" i="46"/>
  <c r="O23" i="46"/>
  <c r="Q23" i="46"/>
  <c r="W23" i="46"/>
  <c r="O24" i="46"/>
  <c r="Q24" i="46"/>
  <c r="O25" i="46"/>
  <c r="Q25" i="46"/>
  <c r="O10" i="46"/>
  <c r="Q10" i="46"/>
  <c r="W10" i="46"/>
  <c r="G9" i="33"/>
  <c r="J9" i="33"/>
  <c r="C14" i="47"/>
  <c r="G26" i="46"/>
  <c r="L25" i="46"/>
  <c r="C26" i="46"/>
  <c r="D26" i="46"/>
  <c r="E26" i="46"/>
  <c r="H26" i="46"/>
  <c r="I26" i="46"/>
  <c r="F8" i="45"/>
  <c r="Q6" i="45"/>
  <c r="B8" i="45"/>
  <c r="C8" i="45"/>
  <c r="D8" i="45"/>
  <c r="E8" i="45"/>
  <c r="G8" i="45"/>
  <c r="J8" i="45"/>
  <c r="K8" i="45"/>
  <c r="L8" i="45"/>
  <c r="N8" i="45"/>
  <c r="M8" i="45"/>
  <c r="O8" i="45"/>
  <c r="S10" i="44"/>
  <c r="B12" i="44"/>
  <c r="C12" i="44"/>
  <c r="D12" i="44"/>
  <c r="G12" i="44"/>
  <c r="O12" i="44"/>
  <c r="S6" i="35"/>
  <c r="S7" i="35"/>
  <c r="S8" i="35"/>
  <c r="S9" i="35"/>
  <c r="S10" i="35"/>
  <c r="S11" i="35"/>
  <c r="S12" i="35"/>
  <c r="S13" i="35"/>
  <c r="S14" i="35"/>
  <c r="B16" i="35"/>
  <c r="C16" i="35"/>
  <c r="D16" i="35"/>
  <c r="E16" i="35"/>
  <c r="F6" i="42"/>
  <c r="B6" i="42"/>
  <c r="C6" i="42"/>
  <c r="E6" i="42"/>
  <c r="H12" i="41"/>
  <c r="G4" i="33"/>
  <c r="G6" i="33"/>
  <c r="G7" i="33"/>
  <c r="J7" i="33"/>
  <c r="G11" i="33"/>
  <c r="G12" i="33"/>
  <c r="J12" i="33"/>
  <c r="G14" i="33"/>
  <c r="G17" i="33"/>
  <c r="J17" i="33"/>
  <c r="C18" i="33"/>
  <c r="C19" i="33"/>
  <c r="E19" i="33"/>
  <c r="F19" i="33"/>
  <c r="C24" i="30"/>
  <c r="E24" i="30"/>
  <c r="F24" i="30"/>
  <c r="F8" i="29"/>
  <c r="F9" i="29"/>
  <c r="F10" i="29"/>
  <c r="F11" i="29"/>
  <c r="F15" i="29"/>
  <c r="F14" i="29"/>
  <c r="F16" i="35"/>
  <c r="N24" i="30"/>
  <c r="G51" i="48"/>
  <c r="K24" i="30"/>
  <c r="G10" i="47"/>
  <c r="L24" i="30"/>
  <c r="J11" i="47"/>
  <c r="J24" i="30"/>
  <c r="I13" i="47"/>
  <c r="I12" i="47"/>
  <c r="T8" i="35"/>
  <c r="R9" i="35"/>
  <c r="J9" i="47"/>
  <c r="K9" i="47"/>
  <c r="I24" i="30"/>
  <c r="H19" i="30"/>
  <c r="T56" i="58"/>
  <c r="W56" i="58"/>
  <c r="T38" i="58"/>
  <c r="W38" i="58" s="1"/>
  <c r="U44" i="58"/>
  <c r="T47" i="58"/>
  <c r="W47" i="58"/>
  <c r="T24" i="58"/>
  <c r="W24" i="58"/>
  <c r="T22" i="58"/>
  <c r="W22" i="58" s="1"/>
  <c r="U27" i="58"/>
  <c r="R13" i="35"/>
  <c r="J5" i="33"/>
  <c r="J16" i="33"/>
  <c r="R11" i="35"/>
  <c r="I14" i="47"/>
  <c r="X16" i="46"/>
  <c r="R26" i="46"/>
  <c r="D19" i="33"/>
  <c r="F45" i="29"/>
  <c r="J14" i="33"/>
  <c r="X12" i="46"/>
  <c r="J11" i="33"/>
  <c r="K26" i="46"/>
  <c r="L26" i="46"/>
  <c r="R6" i="35"/>
  <c r="U34" i="58"/>
  <c r="T6" i="35"/>
  <c r="L24" i="46"/>
  <c r="P19" i="30"/>
  <c r="P17" i="30"/>
  <c r="P14" i="30"/>
  <c r="P13" i="30"/>
  <c r="P12" i="30"/>
  <c r="P15" i="30"/>
  <c r="P16" i="30"/>
  <c r="P10" i="30"/>
  <c r="H24" i="30"/>
  <c r="P9" i="30"/>
  <c r="P11" i="30"/>
  <c r="F48" i="48"/>
  <c r="G48" i="48"/>
  <c r="F47" i="48"/>
  <c r="F50" i="48"/>
  <c r="G50" i="48"/>
  <c r="G14" i="47"/>
  <c r="J14" i="47"/>
  <c r="H10" i="47"/>
  <c r="J10" i="47"/>
  <c r="F46" i="48"/>
  <c r="G46" i="48"/>
  <c r="F49" i="48"/>
  <c r="G49" i="48"/>
  <c r="W15" i="46"/>
  <c r="V15" i="46"/>
  <c r="Y15" i="46"/>
  <c r="W22" i="46"/>
  <c r="V22" i="46"/>
  <c r="Y22" i="46"/>
  <c r="V18" i="46"/>
  <c r="Y18" i="46"/>
  <c r="W12" i="46"/>
  <c r="W11" i="46"/>
  <c r="V11" i="46"/>
  <c r="Y11" i="46"/>
  <c r="W21" i="46"/>
  <c r="W25" i="46"/>
  <c r="V19" i="46"/>
  <c r="Y19" i="46"/>
  <c r="W19" i="46"/>
  <c r="W24" i="46"/>
  <c r="V24" i="46"/>
  <c r="Y24" i="46"/>
  <c r="W14" i="46"/>
  <c r="W13" i="46"/>
  <c r="V13" i="46"/>
  <c r="Y13" i="46"/>
  <c r="W16" i="46"/>
  <c r="O26" i="46"/>
  <c r="P24" i="30"/>
  <c r="H14" i="47"/>
  <c r="K14" i="47"/>
  <c r="K10" i="47"/>
  <c r="T32" i="58"/>
  <c r="W32" i="58"/>
  <c r="J6" i="33"/>
  <c r="G19" i="33"/>
  <c r="J4" i="33"/>
  <c r="G62" i="57"/>
  <c r="J40" i="57"/>
  <c r="D62" i="57"/>
  <c r="G50" i="57"/>
  <c r="J50" i="57"/>
  <c r="G47" i="57"/>
  <c r="G51" i="57"/>
  <c r="J51" i="57"/>
  <c r="F62" i="57"/>
  <c r="G28" i="57"/>
  <c r="E62" i="57"/>
  <c r="C62" i="57"/>
  <c r="G13" i="41"/>
  <c r="E52" i="48"/>
  <c r="X25" i="46"/>
  <c r="V14" i="46"/>
  <c r="Y14" i="46"/>
  <c r="V23" i="46"/>
  <c r="Y23" i="46"/>
  <c r="X21" i="46"/>
  <c r="V10" i="46"/>
  <c r="Y10" i="46"/>
  <c r="Q26" i="46"/>
  <c r="W26" i="46"/>
  <c r="T15" i="35"/>
  <c r="R12" i="35"/>
  <c r="R10" i="35"/>
  <c r="F52" i="48"/>
  <c r="G52" i="48"/>
  <c r="G47" i="48"/>
  <c r="V17" i="46"/>
  <c r="Y17" i="46"/>
  <c r="U26" i="46"/>
  <c r="X26" i="46"/>
  <c r="V26" i="46"/>
  <c r="Y26" i="46"/>
  <c r="N12" i="44"/>
  <c r="U20" i="58"/>
  <c r="U50" i="58"/>
  <c r="U41" i="58"/>
  <c r="U39" i="58"/>
  <c r="T12" i="58"/>
  <c r="U59" i="58"/>
  <c r="T13" i="58"/>
  <c r="W13" i="58"/>
  <c r="U43" i="58"/>
  <c r="U11" i="58"/>
  <c r="T53" i="58"/>
  <c r="W53" i="58" s="1"/>
  <c r="L7" i="58" l="1"/>
  <c r="W7" i="58" s="1"/>
  <c r="T37" i="58"/>
  <c r="W37" i="58" s="1"/>
  <c r="U48" i="58"/>
  <c r="T8" i="58"/>
  <c r="W8" i="58" s="1"/>
  <c r="U7" i="58"/>
  <c r="U17" i="58"/>
  <c r="U15" i="58"/>
  <c r="Q62" i="58"/>
  <c r="U40" i="58"/>
  <c r="T49" i="58"/>
  <c r="W49" i="58" s="1"/>
  <c r="U57" i="58"/>
</calcChain>
</file>

<file path=xl/comments1.xml><?xml version="1.0" encoding="utf-8"?>
<comments xmlns="http://schemas.openxmlformats.org/spreadsheetml/2006/main">
  <authors>
    <author>ธาเนศ เสือแก้ว</author>
  </authors>
  <commentList>
    <comment ref="A99" authorId="0" shapeId="0">
      <text>
        <r>
          <rPr>
            <b/>
            <sz val="9"/>
            <color indexed="81"/>
            <rFont val="Tahoma"/>
            <family val="2"/>
          </rPr>
          <t xml:space="preserve">
เดิมในปี 60 มี 47 เรื่อง
</t>
        </r>
      </text>
    </comment>
  </commentList>
</comments>
</file>

<file path=xl/sharedStrings.xml><?xml version="1.0" encoding="utf-8"?>
<sst xmlns="http://schemas.openxmlformats.org/spreadsheetml/2006/main" count="949" uniqueCount="493">
  <si>
    <t xml:space="preserve">           การวิเคราะห์สาเหตุของการเปลี่ยนแปลงของต้นทุนต่อหน่วยผลผลิตหลัก</t>
  </si>
  <si>
    <t>การวิเคราะห์สาเหตุของการเปลี่ยนแปลงของต้นทุนทางอ้อมตามลักษณะของต้นทุน (คงที่/ผันแปร)</t>
  </si>
  <si>
    <t>ค่าใช้จ่ายด้านการฝึกอบรม</t>
  </si>
  <si>
    <t>ศูนย์ต้นทุนหลัก</t>
  </si>
  <si>
    <t>ผลผลิตย่อย</t>
  </si>
  <si>
    <t>ปริมาณ</t>
  </si>
  <si>
    <t>หน่วยนับ</t>
  </si>
  <si>
    <t>กิจกรรมย่อย</t>
  </si>
  <si>
    <t>เรื่อง</t>
  </si>
  <si>
    <t>ศูนย์ต้นทุนสนับสนุน</t>
  </si>
  <si>
    <t>จำนวนเอกสารรายการ</t>
  </si>
  <si>
    <t>จำนวนบุคลากร</t>
  </si>
  <si>
    <t>ศูนย์ต้นทุน</t>
  </si>
  <si>
    <t>ค่าใช้จ่ายทางตรง</t>
  </si>
  <si>
    <t>ค่าใช้จ่าย</t>
  </si>
  <si>
    <t>บุคลากร</t>
  </si>
  <si>
    <t>รวม</t>
  </si>
  <si>
    <t>ค่าใช้จ่ายทางอ้อม</t>
  </si>
  <si>
    <t>เดินทาง</t>
  </si>
  <si>
    <t>ฝึกอบรม</t>
  </si>
  <si>
    <t>กิจกรรมย่อยของหน่วยงานสนับสนุน</t>
  </si>
  <si>
    <t>กิจกรรมย่อยของหน่วยงานหลัก</t>
  </si>
  <si>
    <t>เงินในงบประมาณ</t>
  </si>
  <si>
    <t>เงินนอกงบประมาณ</t>
  </si>
  <si>
    <t>งบกลาง</t>
  </si>
  <si>
    <t>ค่าเสื่อมราคา</t>
  </si>
  <si>
    <t>ต้นทุนรวม</t>
  </si>
  <si>
    <t>ต้นทุนต่อหน่วย</t>
  </si>
  <si>
    <t>3. สำนักนโยบายระบบการเงินและสถาบันการเงิน (สกง.)</t>
  </si>
  <si>
    <t>1. สำนักนโยบายการคลัง (สนค.)</t>
  </si>
  <si>
    <t>2. สำนักนโยบายภาษี (สนภ.)</t>
  </si>
  <si>
    <t>5. สำนักนโยบายการออมและการลงทุน (สอล.)</t>
  </si>
  <si>
    <t>6. สำนักนโยบายเศรษฐกิจมหภาค (สศม.)</t>
  </si>
  <si>
    <t>7. สำนักนโยบายเศรษฐกิจระหว่างประเทศ (สศร.)</t>
  </si>
  <si>
    <t>8. กลุ่มที่ปรึกษาเศรษฐกิจและการคลังในต่างประเทศ (กตป.)</t>
  </si>
  <si>
    <t>9. สำนักกฎหมาย (สกม.)</t>
  </si>
  <si>
    <t>ประเภทค่าใช้จ่าย</t>
  </si>
  <si>
    <t xml:space="preserve">เงินในงบประมาณ </t>
  </si>
  <si>
    <t>1. ค่าใช้จ่ายบุคลากร</t>
  </si>
  <si>
    <t>2. ค่าใช้จ่ายด้านการฝึกอบรม</t>
  </si>
  <si>
    <t>3. ค่าใช้จ่ายเดินทาง</t>
  </si>
  <si>
    <t>5. ค่าเสื่อมราคาและค่าตัดจำหน่าย</t>
  </si>
  <si>
    <t>รวมต้นทุนผลผลิต</t>
  </si>
  <si>
    <t>กิจกรรมหลัก</t>
  </si>
  <si>
    <t>1. ติดตาม จัดทำ นำเสนอและทำความเข้าใจ</t>
  </si>
  <si>
    <t xml:space="preserve">    ในนโยบายและมาตรการด้านการคลัง ระบบ</t>
  </si>
  <si>
    <t xml:space="preserve">    ประเทศ</t>
  </si>
  <si>
    <t>2. ดำเนินภารกิจที่ปรึกษาเศรษฐกิจการคลัง</t>
  </si>
  <si>
    <t xml:space="preserve">    ในต่างประเทศ</t>
  </si>
  <si>
    <t>1. การเสนอแนะนโยบายด้านการคลัง</t>
  </si>
  <si>
    <t>2. การเสนอแนะนโยบายด้านภาษี</t>
  </si>
  <si>
    <t>3. การเสนอแนะนโยบายด้านการเงิน</t>
  </si>
  <si>
    <t>9. งานด้านกฎหมาย</t>
  </si>
  <si>
    <t>หมายเหตุ :</t>
  </si>
  <si>
    <t>จำนวนการอำนวยการและ</t>
  </si>
  <si>
    <t>ประสานราชการ</t>
  </si>
  <si>
    <t>ผลผลิตหลัก</t>
  </si>
  <si>
    <t>และเศรษฐกิจที่เกี่ยวข้อง</t>
  </si>
  <si>
    <t>2. ศูนย์เทคโนโลยีสารสนเทศ (ศทส.)</t>
  </si>
  <si>
    <t>3. กลุ่มพัฒนาระบบบริหาร (กพบ.)</t>
  </si>
  <si>
    <t>1. สำนักงานเลขานุการกรม (สลข.)</t>
  </si>
  <si>
    <t>4. กลุ่มงานตรวจสอบภายใน (กตส.)</t>
  </si>
  <si>
    <t>6. การเสนอแนะนโยบายด้านเศรษฐกิจมหภาค</t>
  </si>
  <si>
    <t>(หน่วย : บาท)</t>
  </si>
  <si>
    <t>ทดสอบ</t>
  </si>
  <si>
    <t>จำนวนครั้งของการจัดซื้อจัดจ้าง</t>
  </si>
  <si>
    <t>ค่าตอบแทน</t>
  </si>
  <si>
    <t>ใช้สอยวัสดุ และ</t>
  </si>
  <si>
    <t>เงินใน งปม.</t>
  </si>
  <si>
    <t>เงินนอก งปม.</t>
  </si>
  <si>
    <t>ผลการเปรียบเทียบ</t>
  </si>
  <si>
    <t>ต้นทุนรวม เพิ่ม/(ลด) %</t>
  </si>
  <si>
    <t>หน่วยนับเพิ่ม/(ลด) %</t>
  </si>
  <si>
    <t>ต้นทุนต่อหน่วยเพิ่ม/(ลด) %</t>
  </si>
  <si>
    <t>กิจกรรมย่อยหน่วยงานหลัก</t>
  </si>
  <si>
    <t>กิจกรรมย่อยหน่วยงานสนับสนุน</t>
  </si>
  <si>
    <t xml:space="preserve">                          การวิเคราะห์สาเหตุของการเปลี่ยนแปลงของต้นทุนต่อหน่วยผลผลิตย่อย</t>
  </si>
  <si>
    <t xml:space="preserve">ต้นทุนคงที่ </t>
  </si>
  <si>
    <t>ต้นทุนผันแปร</t>
  </si>
  <si>
    <t>ต้นทุน</t>
  </si>
  <si>
    <t>คงที่เพิ่ม/</t>
  </si>
  <si>
    <t>(ลด) %</t>
  </si>
  <si>
    <t>ผันแปรเพิ่ม/</t>
  </si>
  <si>
    <t>รวมเพิ่ม/</t>
  </si>
  <si>
    <t>เหตุผล</t>
  </si>
  <si>
    <t>ค่าใช้จ่ายอื่น</t>
  </si>
  <si>
    <t>ทุนการศึกษา</t>
  </si>
  <si>
    <t>ค่าใช้จ่ายบุคลากร</t>
  </si>
  <si>
    <t>ค่าเสื่อมราคาและค่าตัดจำหน่าย</t>
  </si>
  <si>
    <t>ด้านการ</t>
  </si>
  <si>
    <t>สาธารณูปโภค</t>
  </si>
  <si>
    <t xml:space="preserve">ปริมาณ </t>
  </si>
  <si>
    <t>5. การเสนอแนะนโยบายด้านการออมและการลงทุน</t>
  </si>
  <si>
    <t>ต้นทุนทางอ้อม</t>
  </si>
  <si>
    <t>บำนาญปกติ</t>
  </si>
  <si>
    <t>เงินช่วยเหลือรายเดือนผู้รับเบี้ยหวัดบำนาญ</t>
  </si>
  <si>
    <t>เงินช่วยค่าครองชีพผู้รับเบี้ยหวัดบำนาญ</t>
  </si>
  <si>
    <t>เงินบำเหน็จ</t>
  </si>
  <si>
    <t>เงินบำเหน็จดำรงชีพ</t>
  </si>
  <si>
    <t>เงินช่วยการศึกษาบุตร</t>
  </si>
  <si>
    <t>ค่าใช้จ่ายผลักส่งเป็นรายได้แผ่นดิน</t>
  </si>
  <si>
    <t>เงินอุดหนุนเพื่อการดำเนินงาน - องค์กรระหว่างประเทศ</t>
  </si>
  <si>
    <t xml:space="preserve">            ค่าใช้จ่ายในระบบ GFMIS</t>
  </si>
  <si>
    <t xml:space="preserve">            รวมต้นทุนผลผลิต</t>
  </si>
  <si>
    <t>5. ศูนย์บริหารงานวิจัยและบรรณสารสนเทศ (ศวบ.)</t>
  </si>
  <si>
    <r>
      <t xml:space="preserve">            </t>
    </r>
    <r>
      <rPr>
        <u/>
        <sz val="16"/>
        <rFont val="TH SarabunPSK"/>
        <family val="2"/>
      </rPr>
      <t>หัก</t>
    </r>
    <r>
      <rPr>
        <sz val="16"/>
        <rFont val="TH SarabunPSK"/>
        <family val="2"/>
      </rPr>
      <t xml:space="preserve">  </t>
    </r>
  </si>
  <si>
    <t>ต้นทุนที่ไม่เกี่ยวข้องในการผลิตผลผลิต :</t>
  </si>
  <si>
    <t>ศึกษา วิเคราะห์ เสนอแนะ ติดตาม และทำความเข้าใจ</t>
  </si>
  <si>
    <t>ในนโยบายและมาตรการด้านภาษี</t>
  </si>
  <si>
    <t>1.</t>
  </si>
  <si>
    <t>2.</t>
  </si>
  <si>
    <t>3.</t>
  </si>
  <si>
    <t>ในนโยบายและมาตรการด้านระบบการคุ้มครอง</t>
  </si>
  <si>
    <t>ผลประโยชน์ทางการเงิน</t>
  </si>
  <si>
    <t>4.</t>
  </si>
  <si>
    <t>5.</t>
  </si>
  <si>
    <t>ในนโยบายและมาตรการด้านการออมและการลงทุน</t>
  </si>
  <si>
    <t>6.</t>
  </si>
  <si>
    <t>ในนโยบายและมาตรการด้านเศรษฐกิจมหภาค</t>
  </si>
  <si>
    <t>ในนโยบายและมาตรการด้านเศรษฐกิจระหว่างประเทศ</t>
  </si>
  <si>
    <t>7.</t>
  </si>
  <si>
    <t>9.</t>
  </si>
  <si>
    <t>ศึกษา วิเคราะห์ เสนอแนะ ดำเนินภารกิจที่ปรึกษา</t>
  </si>
  <si>
    <t>เศรษฐกิจการคลังในต่างประเทศ</t>
  </si>
  <si>
    <t>การจัดทำโครงการวิจัย</t>
  </si>
  <si>
    <t>10.</t>
  </si>
  <si>
    <t>ด้านบริหารบุคลากร</t>
  </si>
  <si>
    <t>ด้านพัฒนาทรัพยากรบุคคล</t>
  </si>
  <si>
    <t>ด้านอำนวยการและประสานราชการ</t>
  </si>
  <si>
    <t>8.</t>
  </si>
  <si>
    <t>เสริมสร้าง พัฒนาองค์กร และระบบบริหารตามแนวทาง</t>
  </si>
  <si>
    <t>วางแผน บริหารจัดการ และกำกับการดูแลงานวิจัยของ</t>
  </si>
  <si>
    <t>สศค.</t>
  </si>
  <si>
    <t>การบริหารงานและให้บริการห้องสมุดของ สศค.</t>
  </si>
  <si>
    <t>11.</t>
  </si>
  <si>
    <t>12.</t>
  </si>
  <si>
    <t>14.</t>
  </si>
  <si>
    <t>16.</t>
  </si>
  <si>
    <t>17.</t>
  </si>
  <si>
    <t>ค่าใช้จ่ายเดินทาง</t>
  </si>
  <si>
    <r>
      <t>ตารางที่ 12</t>
    </r>
    <r>
      <rPr>
        <b/>
        <sz val="16"/>
        <rFont val="TH SarabunPSK"/>
        <family val="2"/>
      </rPr>
      <t xml:space="preserve"> รายงานเปรียบเทียบต้นทุนทางอ้อมตามลักษณะของต้นทุน (คงที่/ผันแปร) ของสำนักงานเศรษฐกิจการคลัง</t>
    </r>
  </si>
  <si>
    <r>
      <t>ตารางที่ 11</t>
    </r>
    <r>
      <rPr>
        <b/>
        <sz val="16"/>
        <rFont val="TH SarabunPSK"/>
        <family val="2"/>
      </rPr>
      <t xml:space="preserve"> รายงานเปรียบเทียบต้นทุนทางตรงตามศูนย์ต้นทุนแยกตามประเภทค่าใช้จ่ายและลักษณะของต้นทุน (คงที่/ผันแปร) ของสำนักงานเศรษฐกิจการคลัง</t>
    </r>
  </si>
  <si>
    <t>4. สำนักนโยบายระบบการคุ้มครองผลประโยชน์ทางการเงิน (สคป.)</t>
  </si>
  <si>
    <t>ติดตาม จัดทำ นำเสนอและทำความเข้าใจ</t>
  </si>
  <si>
    <t>ในนโยบายและมาตรการด้านการคลัง ระบบ</t>
  </si>
  <si>
    <t>ประเทศ</t>
  </si>
  <si>
    <t>ดำเนินภารกิจที่ปรึกษาเศรษฐกิจการคลัง</t>
  </si>
  <si>
    <t>ในต่างประเทศ</t>
  </si>
  <si>
    <t>การเงิน และเศรษฐกิจมหภาคและระหว่าง</t>
  </si>
  <si>
    <t>นโยบาย มาตรการด้านการคลังการเงิน</t>
  </si>
  <si>
    <t xml:space="preserve">    การเงิน และเศรษฐกิจมหภาคและระหว่าง</t>
  </si>
  <si>
    <t>15.</t>
  </si>
  <si>
    <t>การเสนอแนะนโยบายด้านการคลัง</t>
  </si>
  <si>
    <t>การเสนอแนะนโยบายด้านภาษี</t>
  </si>
  <si>
    <t>การเสนอแนะนโยบายด้านการเงิน</t>
  </si>
  <si>
    <t>การเสนอแนะนโยบายด้านการคุ้มครอง</t>
  </si>
  <si>
    <t>การเสนอแนะนโยบายด้านการออมและ</t>
  </si>
  <si>
    <t>การลงทุน</t>
  </si>
  <si>
    <t>การเสนอแนะนโยบายด้านเศรษฐกิจมหภาค</t>
  </si>
  <si>
    <t>การเสนอแนะนโยบายด้านเศรษฐกิจระหว่าง</t>
  </si>
  <si>
    <t>งานด้านที่ปรึกษาเศรษฐกิจและการคลัง</t>
  </si>
  <si>
    <t>งานด้านกฎหมาย</t>
  </si>
  <si>
    <t>7. การเสนอแนะนโยบายด้านเศรษฐกิจระหว่างประเทศ</t>
  </si>
  <si>
    <t>8. งานด้านที่ปรึกษาเศรษฐกิจและการคลังในต่างประเทศ</t>
  </si>
  <si>
    <t>4. การเสนอแนะนโยบายด้านการคุ้มครองผลประโยชน์ทางการเงิน</t>
  </si>
  <si>
    <t>ต้นทุนคงที่  หมายถึง  ต้นทุนที่ไม่ได้เปลี่ยนแปลงไปตามปริมาณกิจกรรมหรือผลผลิตของหน่วยงาน</t>
  </si>
  <si>
    <t>ต้นทุนผันแปร  หมายถึง  ต้นทุนที่เปลี่ยนแปลงไปตามปริมาณกิจกรรมหรือผลผลิตของหน่วยงาน</t>
  </si>
  <si>
    <t>การวิเคราะห์สาเหตุของการเปลี่ยนแปลงของต้นทุนทางตรงตามศูนย์ต้นทุนแยกตามประเภทค่าใช้จ่ายและลักษณะของต้นทุน (คงที่/ผันแปร)</t>
  </si>
  <si>
    <t xml:space="preserve">หมายเหตุ :  </t>
  </si>
  <si>
    <t>บัญชีขาดทุนที่เกิดขึ้นแล้วจากอัตราแลกเปลี่ยนอื่น</t>
  </si>
  <si>
    <t>ด้านการฝึกอบรม</t>
  </si>
  <si>
    <t>และค่าตัดจำหน่าย</t>
  </si>
  <si>
    <t>10. สำนักนโยบายพัฒนาระบบการเงินภาคประชาชน (สพช.)</t>
  </si>
  <si>
    <t>ในนโยบายและมาตรการส่งเสริมระบบการเงินภาคประชาชน</t>
  </si>
  <si>
    <t>กิโลเมตร</t>
  </si>
  <si>
    <t>จำนวนเครื่องคอมพิวเตอร์</t>
  </si>
  <si>
    <t>ด้านเทคโนโลยีสารสนเทศภายในหน่วยงาน</t>
  </si>
  <si>
    <t>ด้านเครือข่ายอินเตอร์เน็ตและเว็บไซต์</t>
  </si>
  <si>
    <t>ระบบ</t>
  </si>
  <si>
    <t>ด้าน</t>
  </si>
  <si>
    <t>จำนวนหนังสือเข้า-ออก</t>
  </si>
  <si>
    <t>ปฏิบัติราชการขององค์กรประจำปีและติดตามประเมินผล</t>
  </si>
  <si>
    <t>นโยบายรัฐบาลและผู้บริหาร (ด้านพัฒนาระบบบริหารราชการ)</t>
  </si>
  <si>
    <t>(ด้านแผนงาน)</t>
  </si>
  <si>
    <t>ด้านยานพาหนะ</t>
  </si>
  <si>
    <t>ด้านการพัสดุ (จัดซื้อจัดจ้าง)</t>
  </si>
  <si>
    <t>การเสนอแนะนโยบายด้านการเงินภาคประชาชน</t>
  </si>
  <si>
    <t>10. การเสนอแนะนโยบายด้านการเงินภาคประชาชน</t>
  </si>
  <si>
    <t>ค่ารักษาพยาบาลผู้ป่วยนอก-รพ.รัฐ-ผู้รับเบี้ยหวัด/บำนาญ</t>
  </si>
  <si>
    <t>ค่ารักษาพยาบาลผู้ป่วยใน-รพ.รัฐ-ผู้รับเบี้ยหวัด/บำนาญ</t>
  </si>
  <si>
    <t>ค่ารักษาพยาบาลผู้ป่วยนอก-รพ.เอกชน-ผู้รับเบี้ยหวัด/บำนาญ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</si>
  <si>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</si>
  <si>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</si>
  <si>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</si>
  <si>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ปรับเงินฝากคลัง</t>
  </si>
  <si>
    <t>ค่าใช้จ่ายระหว่างหน่วยงาน - หน่วยงานโอนเงินให้หน่วยงานอื่น</t>
  </si>
  <si>
    <t>ด้านการเงินและบัญชี</t>
  </si>
  <si>
    <t>จัดทำแผนยุทธศาสตร์ของ สศค. รวมทั้งคำรับรองการ</t>
  </si>
  <si>
    <t>ศึกษา วิเคราะห์ เสนอแนะ ติดตาม นโยบายและ</t>
  </si>
  <si>
    <t>มาตรการด้านระบบการเงินและสถาบันการเงิน</t>
  </si>
  <si>
    <t>วันทำงาน</t>
  </si>
  <si>
    <t>ค่าตอบแทน ใช้สอยวัสดุ และ ค่าสาธารณูปโภค</t>
  </si>
  <si>
    <t>บำเหน็จรายเดือนสำหรับการเบิกเงินบำเหน็จลูกจ้าง</t>
  </si>
  <si>
    <r>
      <t>ตารางที่ 7</t>
    </r>
    <r>
      <rPr>
        <b/>
        <sz val="16"/>
        <rFont val="TH SarabunPSK"/>
        <family val="2"/>
      </rPr>
      <t xml:space="preserve"> เปรียบเทียบผลการคำนวณต้นทุนกิจกรรมย่อยแยกตามแหล่งเงินของสำนักงานเศรษฐกิจการคลัง</t>
    </r>
  </si>
  <si>
    <r>
      <t>ตารางที่ 10</t>
    </r>
    <r>
      <rPr>
        <b/>
        <sz val="16"/>
        <rFont val="TH SarabunPSK"/>
        <family val="2"/>
      </rPr>
      <t xml:space="preserve"> เปรียบเทียบผลการคำนวณต้นทุนผลผลิตหลักแยกตามแหล่งเงินของสำนักงานเศรษฐกิจการคลัง</t>
    </r>
  </si>
  <si>
    <t>สำนักงานเศรษฐกิจการคลัง</t>
  </si>
  <si>
    <t>รายงานต้นทุนผลผลิต</t>
  </si>
  <si>
    <r>
      <t>ตารางที่ 1</t>
    </r>
    <r>
      <rPr>
        <b/>
        <sz val="16"/>
        <rFont val="TH SarabunPSK"/>
        <family val="2"/>
      </rPr>
      <t xml:space="preserve">   รายงานต้นทุนรวมของสำนักงานเศรษฐกิจการคลัง โดยแยกประเภทตามแหล่งของเงิน </t>
    </r>
  </si>
  <si>
    <t>ค่าจำหน่าย</t>
  </si>
  <si>
    <t>6. ต้นทุนในการผลิตผลผลิตอื่น</t>
  </si>
  <si>
    <t>ค่าจำหน่ายจากการขายสินทรัพย์</t>
  </si>
  <si>
    <t>4. ค่าตอบแทน ใช้สอยวัสดุ และค่าสาธารณูปโภค</t>
  </si>
  <si>
    <t>จำนวนผู้ใช้บริการคูณจำนวน</t>
  </si>
  <si>
    <t xml:space="preserve">               การวิเคราะห์สาเหตุของการเปลี่ยนแปลงของต้นทุนต่อหน่วยกิจกรรมหลัก</t>
  </si>
  <si>
    <t>ผลผลิต</t>
  </si>
  <si>
    <t>รายงานสรุปผลการวิเคราะห์ต้นทุนต่อหน่วยผลผลิต</t>
  </si>
  <si>
    <t>ของสำนักงานเศรษฐกิจการคลัง</t>
  </si>
  <si>
    <t>กรมบัญชีกลางได้กำหนดให้ส่วนราชการจัดทำบัญชีต้นทุนต่อหน่วยผลผลิตตามหลักเกณฑ์และวิธีการที่กรมบัญชีกลาง</t>
  </si>
  <si>
    <t>กำหนดและรายงานผลการคำนวณต้นทุนพร้อมทั้งเปรียบเทียบผลการคำนวณต้นทุนต่อหน่วยผลผลิต ระหว่างปี</t>
  </si>
  <si>
    <t xml:space="preserve">1. เกณฑ์การปันส่วนค่าใช้จ่ายทางอ้อมเข้าสู่ศูนย์ต้นทุน ประกอบด้วย </t>
  </si>
  <si>
    <t xml:space="preserve">1.1 ค่าใช้จ่ายเกี่ยวกับค่าสาธารณูปโภค เช่น ค่าไฟฟ้า ค่าโทรศัพท์ ค่าบริการโทรคมนาคม </t>
  </si>
  <si>
    <t>1.2 ค่าใช้จ่ายบุคลากรเกี่ยวกับค่ารักษาพยาบาล กรณีที่เป็นการจ่ายตรงจากกรมบัญชีกลาง</t>
  </si>
  <si>
    <t>1.3 ค่าใช้จ่ายทางอ้อมประเภทอื่น เช่น ค่าซ่อมแซมและบำรุงรักษาลิฟท์ ค่าทำความสะอาด</t>
  </si>
  <si>
    <t>2. เกณฑ์การปันส่วนค่าใช้จ่ายจากศูนย์ต้นทุนเข้าสู่กิจกรรมย่อย</t>
  </si>
  <si>
    <t xml:space="preserve">3. เกณฑ์การปันส่วนต้นทุนระหว่างกิจกรรมย่อยของสำนักงานเลขานุการกรม จะปันส่วนโดยใช้เกณฑ์ </t>
  </si>
  <si>
    <t>จำนวนคน</t>
  </si>
  <si>
    <t>4. เกณฑ์การปันส่วนต้นทุนของกิจกรรมย่อยเข้าสู่ผลผลิตย่อย</t>
  </si>
  <si>
    <t>ผลต่าง เพิ่มขึ้น/(ลดลง)</t>
  </si>
  <si>
    <t>ร้อยละ</t>
  </si>
  <si>
    <t>หน่วย : บาท</t>
  </si>
  <si>
    <t>บาท</t>
  </si>
  <si>
    <t xml:space="preserve">เมื่อพิจารณาต้นทุนตามศูนย์ต้นทุนแยกตามประเภทค่าใช้จ่าย ซึ่งประกอบด้วยศูนย์ต้นทุนหลัก จำนวน </t>
  </si>
  <si>
    <t>ต้นทุนตามศูนย์ต้นทุนแยกตามประเภทค่าใช้จ่าย</t>
  </si>
  <si>
    <t>ต้นทุนผลผลิตรวม</t>
  </si>
  <si>
    <t>ต้นทุนกิจกรรมย่อยแยกตามแหล่งเงิน</t>
  </si>
  <si>
    <t>ต้นทุนกิจกรรมหลักแยกตามแหล่งเงิน</t>
  </si>
  <si>
    <t>กิจกรรมหลักของสำนักงานเศรษฐกิจการคลัง ประกอบด้วย 2 กิจกรรม ได้แก่ กิจกรรมหลักที่ 1 ติดตาม</t>
  </si>
  <si>
    <t>จัดทำ นำเสนอและทำความเข้าใจในนโยบายและมาตรการด้านการคลัง ระบบการเงิน และเศรษฐกิจมหภาคและ</t>
  </si>
  <si>
    <t xml:space="preserve">ระหว่างประเทศ และกิจกรรมหลักที่ 2 ดำเนินภารกิจที่ปรึกษาเศรษฐกิจการคลังในต่างประเทศ </t>
  </si>
  <si>
    <t>ต้นทุนผลผลิตย่อยตามแหล่งเงิน</t>
  </si>
  <si>
    <t>การเสนอแนะนโยบายด้านการคุ้มครองผลประโยชน์ทางการเงิน</t>
  </si>
  <si>
    <t>การเสนอแนะนโยบายด้านการออมและการลงทุน</t>
  </si>
  <si>
    <t>การเสนอแนะนโยบายด้านเศรษฐกิจระหว่างประเทศ</t>
  </si>
  <si>
    <t>งานด้านที่ปรึกษาเศรษฐกิจและการคลังในต่างประเทศ</t>
  </si>
  <si>
    <t>ต้นทุนผลผลิตหลักแยกตามแหล่งเงิน</t>
  </si>
  <si>
    <t xml:space="preserve">สำนักงานเศรษฐกิจการคลังมีผลผลิตหลัก จำนวน 1 ผลผลิต ได้แก่ นโยบาย มาตรการด้านการคลังการเงิน </t>
  </si>
  <si>
    <t xml:space="preserve">ต้นทุนทางตรงตามศูนย์ต้นทุนแยกตามประเภทค่าใช้จ่ายและลักษณะของต้นทุน (คงที่/ผันแปร) </t>
  </si>
  <si>
    <t xml:space="preserve">ต้นทุนทางอ้อมตามศูนย์ต้นทุนแยกตามประเภทค่าใช้จ่ายและลักษณะของต้นทุน (คงที่/ผันแปร) </t>
  </si>
  <si>
    <t>เงินบำเหน็จตกทอด</t>
  </si>
  <si>
    <t>เงินช่วยพิเศษกรณีผู้รับบำนาญตาย</t>
  </si>
  <si>
    <t>ค่ารักษาพยาบาลผู้ป่วยใน-รพ.เอกชน-ผู้รับเบี้ยหวัด/บำนาญ</t>
  </si>
  <si>
    <t>ค่าใช้จ่ายระหว่างหน่วยงาน - เงินทดรองราชการ</t>
  </si>
  <si>
    <t xml:space="preserve">และเมื่อพิจารณาต้นทุนของศูนย์ต้นทุนสนับสนุน พบว่า ต้นทุนของสำนักงานเลขานุการกรมมีต้นทุนสูงสุด </t>
  </si>
  <si>
    <r>
      <t>ตารางที่ 8</t>
    </r>
    <r>
      <rPr>
        <b/>
        <sz val="16"/>
        <rFont val="TH SarabunPSK"/>
        <family val="2"/>
      </rPr>
      <t xml:space="preserve"> เปรียบเทียบผลการคำนวณต้นทุนผลผลิตย่อยแยกตามแหล่งเงินของสำนักงานเศรษฐกิจการคลัง</t>
    </r>
  </si>
  <si>
    <r>
      <t>ตารางที่ 9</t>
    </r>
    <r>
      <rPr>
        <b/>
        <sz val="16"/>
        <rFont val="TH SarabunPSK"/>
        <family val="2"/>
      </rPr>
      <t xml:space="preserve"> เปรียบเทียบผลการคำนวณต้นทุนกิจกรรมหลักแยกตามแหล่งเงินของสำนักงานเศรษฐกิจการคลัง</t>
    </r>
  </si>
  <si>
    <t>และด้านการเงินการคลังอาเซียน</t>
  </si>
  <si>
    <t xml:space="preserve">การวิเคราะห์สาเหตุของการเปลี่ยนแปลงของต้นทุนต่อหน่วยกิจกรรมย่อย </t>
  </si>
  <si>
    <t>กิจกรรมย่อยที่  24</t>
  </si>
  <si>
    <t xml:space="preserve">                            ศูนย์ต้นทุนหลักที่ 3</t>
  </si>
  <si>
    <t xml:space="preserve">                            ศูนย์ต้นทุนสนับสนุนที่  4</t>
  </si>
  <si>
    <t>- 2 -</t>
  </si>
  <si>
    <t>- 3 -</t>
  </si>
  <si>
    <t xml:space="preserve">10 ศูนย์ต้นทุน และศูนย์ต้นทุนสนับสนุน จำนวน 5 ศูนย์ต้นทุน พบว่า ต้นทุนของศูนย์ต้นทุนหลักที่มีต้นทุนสูงสุด </t>
  </si>
  <si>
    <t>ด้านงานสารบรรณ</t>
  </si>
  <si>
    <t>จำนวนชั่วโมง/คนการฝึกอบรม</t>
  </si>
  <si>
    <t>จำนวนงานตรวจสอบ/คนวัน</t>
  </si>
  <si>
    <t xml:space="preserve">สำนักงานเศรษฐกิจการคลังมีผลผลิตย่อย จำนวน 10 ด้าน ประกอบด้วย </t>
  </si>
  <si>
    <t>- 4 -</t>
  </si>
  <si>
    <t>- 5 -</t>
  </si>
  <si>
    <t>ค่าใช้จ่ายของศูนย์ต้นทุนหรือกิจกรรมย่อยใด จะดำเนินการระบุเข้าสู่ศูนย์ต้นทุนหรือกิจกรรมย่อยนั้น และหากไม่สามารถ</t>
  </si>
  <si>
    <t>ระบุได้ จะใช้วิธีการบันทึกเป็นค่าใช้จ่ายส่วนกลางและใช้วิธีการปันส่วนค่าใช้จ่ายลงสู่ศูนย์ต้นทุนหรือกิจกรรมย่อย</t>
  </si>
  <si>
    <t>ตามเกณฑ์การปันส่วน ดังนี้</t>
  </si>
  <si>
    <t>เป็นต้น ปันส่วนโดยใช้เกณฑ์จำนวนคน</t>
  </si>
  <si>
    <t>ปันส่วนโดยใช้เกณฑ์จำนวนคน</t>
  </si>
  <si>
    <t xml:space="preserve">ค่าจ้างยามรักษาความปลอดภัย เป็นต้น ปันส่วนโดยใช้เกณฑ์จำนวนคน </t>
  </si>
  <si>
    <t xml:space="preserve">ค่าใช้จ่ายที่สามารถระบุเข้าสู่กิจกรรมย่อยได้จะดำเนินการระบุเข้าสู่กิจกรรมย่อยนั้น ๆ  </t>
  </si>
  <si>
    <t>ตามรายการที่เกิดขึ้นจริง และค่าใช้จ่ายในส่วนที่ไม่สามารถระบุได้จะระบุเข้าสู่กิจกรรมย่อยตามสัดส่วนที่ได้กำหนดไว้</t>
  </si>
  <si>
    <t xml:space="preserve">กิจกรรมย่อยใดที่ไม่สามารถระบุได้ จะใช้วิธีการปันส่วนต้นทุนเฉลี่ยให้แก่ผลผลิตย่อยที่เกี่ยวข้อง </t>
  </si>
  <si>
    <t>ค่าใช้จ่ายระหว่างกัน - ภายในกรมเดียวกัน</t>
  </si>
  <si>
    <t>ด้านงบประมาณ</t>
  </si>
  <si>
    <t>ด้านอาคารและสถานที่</t>
  </si>
  <si>
    <t>ด้านการประชาสัมพันธ์</t>
  </si>
  <si>
    <t>จำนวนเงินงบประมาณที่ได้รับจัดสรร</t>
  </si>
  <si>
    <t>จำนวนครั้ง</t>
  </si>
  <si>
    <t>จำนวนเรื่อง</t>
  </si>
  <si>
    <t>นโยบาย มาตรการด้านการคลัง การเงิน</t>
  </si>
  <si>
    <t>13</t>
  </si>
  <si>
    <t xml:space="preserve">                                                    เหตุผล</t>
  </si>
  <si>
    <t xml:space="preserve">  เหตุผล</t>
  </si>
  <si>
    <t>ระหว่างประเทศ และกิจกรรมดำเนินภารกิจที่ปรึกษาเศรษฐกิจการคลังในต่างประเทศ และประกอบด้วยผลผลิตย่อย</t>
  </si>
  <si>
    <t xml:space="preserve">จำนวน 10 ด้าน ภายใต้ผลผลิตหลัก 1 ผลผลิต คือ นโยบาย มาตรการด้านการคลังการเงินและเศรษฐกิจที่เกี่ยวข้อง </t>
  </si>
  <si>
    <t>กิจกรรมย่อยที่  2</t>
  </si>
  <si>
    <t>และประมาณการเศรษฐกิจไทยรายไตรมาส</t>
  </si>
  <si>
    <t>รายงานภาวะเศรษฐกิจไทยรายเดือน</t>
  </si>
  <si>
    <t>ด้านวินัยและความรับผิดทางละเมิด</t>
  </si>
  <si>
    <t>18</t>
  </si>
  <si>
    <t>19</t>
  </si>
  <si>
    <t>ต้นทุนผลผลิตประจำปีงบประมาณ พ.ศ. 2561 (ต.ค. 60 - ก.ย. 61)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</si>
  <si>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</si>
  <si>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</si>
  <si>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</si>
  <si>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</si>
  <si>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</si>
  <si>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</si>
  <si>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</si>
  <si>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</si>
  <si>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</si>
  <si>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</si>
  <si>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ปีงบประมาณ พ.ศ. 2561</t>
  </si>
  <si>
    <t>ต้นทุนทางตรง ปีงบประมาณ พ.ศ. 2561</t>
  </si>
  <si>
    <t>กิจกรรมย่อยที่  3</t>
  </si>
  <si>
    <t>กิจกรรมย่อยที่  6</t>
  </si>
  <si>
    <t xml:space="preserve">                            ศูนย์ต้นทุนหลักที่ 9</t>
  </si>
  <si>
    <t xml:space="preserve">                            ศูนย์ต้นทุนหลักที่ 1</t>
  </si>
  <si>
    <t>ด้านการตรวจสอบภายใน</t>
  </si>
  <si>
    <t>13.</t>
  </si>
  <si>
    <t xml:space="preserve">18 กิจกรรม ซึ่งกิจกรรมย่อยดังกล่าวข้างต้นดำเนินการภายใต้กิจกรรมหลัก 2 กิจกรรม ได้แก่ กิจกรรมติดตาม </t>
  </si>
  <si>
    <t>ค่าใช้จ่ายอุดหนุน-หน่วยงานภาครัฐ</t>
  </si>
  <si>
    <t>ประจำปีงบประมาณ พ.ศ. 2562</t>
  </si>
  <si>
    <t>อ5101</t>
  </si>
  <si>
    <t>อ5102</t>
  </si>
  <si>
    <t>อ5103</t>
  </si>
  <si>
    <t xml:space="preserve">ค่าตอบแทนใช้สอยวัสดุ </t>
  </si>
  <si>
    <t>ค่าสาธารณูปโภค 
และค่าใช้จ่ายอื่น</t>
  </si>
  <si>
    <t>อ5104</t>
  </si>
  <si>
    <t>อ5105</t>
  </si>
  <si>
    <t>จากการขายสินทรัพย์</t>
  </si>
  <si>
    <t>อ5203</t>
  </si>
  <si>
    <t xml:space="preserve">ใช้สอยวัสดุ 
ค่าสาธารณูปโภค และค่าใช้จ่ายอื่น </t>
  </si>
  <si>
    <r>
      <t>ตารางที่ 2</t>
    </r>
    <r>
      <rPr>
        <b/>
        <sz val="16"/>
        <rFont val="TH SarabunPSK"/>
        <family val="2"/>
      </rPr>
      <t xml:space="preserve">  รายงานต้นทุนตามศูนย์ต้นทุนแยกตามประเภทค่าใช้จ่ายของสำนักงานเศรษฐกิจการคลัง ปีงบประมาณ พ.ศ. 2562</t>
    </r>
  </si>
  <si>
    <r>
      <t>ตารางที่ 3</t>
    </r>
    <r>
      <rPr>
        <b/>
        <sz val="16"/>
        <rFont val="TH SarabunPSK"/>
        <family val="2"/>
      </rPr>
      <t xml:space="preserve">  รายงานต้นทุนกิจกรรมย่อยแยกตามแหล่งเงินของสำนักงานเศรษฐกิจการคลัง ปีงบประมาณ พ.ศ. 2562</t>
    </r>
  </si>
  <si>
    <t>1.1 การวิเคราะห์และเสนอแนะนโยบายการคลังภาคสาธารณะ</t>
  </si>
  <si>
    <t>(การจัดสรรต้นทุนคิดเป็นร้อยละ 20)</t>
  </si>
  <si>
    <t>1.2 การพัฒนาระบบการคลังท้องถิ่น (การจัดสรรต้นทุนคิดเป็นร้อยละ 20)</t>
  </si>
  <si>
    <t>1.3 ศึกษาวิเคราะห์ความยั่งยืนทางการคลัง ความเสี่ยง</t>
  </si>
  <si>
    <t>และภาระทางการคลัง (การจัดสรรต้นทุนคิดเป็นร้อยละ 20)</t>
  </si>
  <si>
    <t>1.4 การจัดทำและพัฒนาระบบฐานข้อมูลทางการคลัง</t>
  </si>
  <si>
    <t>1.5 การบริหารวินัยทางการคลัง (การจัดสรรต้นทุนคิดเป็นร้อยละ 20)</t>
  </si>
  <si>
    <t xml:space="preserve"> ศึกษา วิเคราะห์ เสนอแนะ ติดตามนโยบายและมาตรการ</t>
  </si>
  <si>
    <t>ด้านภาษี</t>
  </si>
  <si>
    <t>ศึกษา วิเคราะห์ เสนอแนะ ติดตามนโยบายและมาตรการ</t>
  </si>
  <si>
    <t>ด้านระบบการคุ้มครองผลประโยชน์ทางการเงิน</t>
  </si>
  <si>
    <t>ฉบับ</t>
  </si>
  <si>
    <t>ในนโยบายและมาตรการด้านระบบการเงินภาคประชาชน</t>
  </si>
  <si>
    <t>ด้านการเงินและบัญชี (การจัดสรรต้นทุนคิดเป็นร้อยละ 75)</t>
  </si>
  <si>
    <t>ด้านงบประมาณ (การจัดสรรต้นทุนคิดเป็นร้อยละ 25)</t>
  </si>
  <si>
    <t>ด้านการพัสดุ (จัดซื้อจัดจ้าง) (การจัดสรรต้นทุนคิดเป็นร้อยละ 80)</t>
  </si>
  <si>
    <t>ครั้ง</t>
  </si>
  <si>
    <t>ด้านยานพาหนะ (การจัดสรรต้นทุนคิดเป็นร้อยละ 10)</t>
  </si>
  <si>
    <t>ด้านอาคารและสถานที่ (การจัดสรรต้นทุนคิดเป็นร้อยละ 10)</t>
  </si>
  <si>
    <t>ด้านอำนวยการและประสานราชการ  (การจัดสรรต้นทุนคิดเป็นร้อยละ 75)</t>
  </si>
  <si>
    <t>ด้านการประชาสัมพันธ์  (การจัดสรรต้นทุนคิดเป็นร้อยละ 25)</t>
  </si>
  <si>
    <t>ด้านเทคโนโลยีสารสนเทศภายในหน่วยงาน (การจัดสรรต้นทุนคิดเป็นร้อยละ 80)</t>
  </si>
  <si>
    <t>ด้านเครือข่ายอินเตอร์เน็ตและเว็บไซต์ (การจัดสรรต้นทุนคิดเป็นร้อยละ 20)</t>
  </si>
  <si>
    <t xml:space="preserve"> เสริมสร้าง พัฒนาองค์กร และระบบบริหารตามแนวทางนโยบายรัฐบาลและผู้บริหาร</t>
  </si>
  <si>
    <t>(ด้านพัฒนาระบบบริหารราชการ) (การจัดสรรต้นทุนคิดเป็นร้อยละ 60)</t>
  </si>
  <si>
    <t>จัดทำแผนยุทธศาสตร์ ของ สศค. รวมทั้งคำรับรองการปฏิบัติราชการขององค์กรประจำปีและติดตามประเมินผล</t>
  </si>
  <si>
    <t>(ด้านแผนงาน) (การจัดสรรต้นทุนคิดเป็นร้อยละ 40)</t>
  </si>
  <si>
    <t xml:space="preserve">ด้านวางแผนการวิจัย การกำกับดูแลงานวิจัยของ สศค. </t>
  </si>
  <si>
    <t>จำนวนโครงการวิจัย</t>
  </si>
  <si>
    <t>และบริหารจัดการ (การจัดสรรต้นทุนคิดเป็นร้อยละ 50)</t>
  </si>
  <si>
    <t xml:space="preserve">ด้านการบริหารงานและให้บริการห้องสมุดของ สศค. </t>
  </si>
  <si>
    <t>จำนวนผู้ใช้บริการ</t>
  </si>
  <si>
    <t>(การจัดสรรต้นทุนคิดเป็นร้อยละ 50)</t>
  </si>
  <si>
    <t>6. ค่าใช้จ่ายค่าจำหน่ายจากการขายสินทรัพย์</t>
  </si>
  <si>
    <r>
      <t>ตารางที่ 4</t>
    </r>
    <r>
      <rPr>
        <b/>
        <sz val="16"/>
        <rFont val="TH SarabunPSK"/>
        <family val="2"/>
      </rPr>
      <t xml:space="preserve"> รายงานต้นทุนผลผลิตย่อยแยกตามแหล่งเงินของสำนักงานเศรษฐกิจการคลัง ปีงบประมาณ พ.ศ. 2562</t>
    </r>
  </si>
  <si>
    <r>
      <t>ตารางที่ 5</t>
    </r>
    <r>
      <rPr>
        <b/>
        <sz val="16"/>
        <rFont val="TH SarabunPSK"/>
        <family val="2"/>
      </rPr>
      <t xml:space="preserve"> รายงานต้นทุนกิจกรรมหลักแยกตามแหล่งเงินของสำนักงานเศรษฐกิจการคลัง ปีงบประมาณ พ.ศ. 2562</t>
    </r>
  </si>
  <si>
    <r>
      <t>ตารางที่ 6</t>
    </r>
    <r>
      <rPr>
        <b/>
        <sz val="16"/>
        <rFont val="TH SarabunPSK"/>
        <family val="2"/>
      </rPr>
      <t xml:space="preserve">  รายงานต้นทุนผลผลิตหลักแยกตามแหล่งเงินของสำนักงานเศรษฐกิจการคลัง ปีงบประมาณ พ.ศ. 2562</t>
    </r>
  </si>
  <si>
    <t>ตารางเปรียบเทียบผลการคำนวณต้นทุนผลผลิตระหว่างปีงบประมาณ พ.ศ. 2561 และ ปีงบประมาณ พ.ศ. 2562</t>
  </si>
  <si>
    <t>ต้นทุนผลผลิตประจำปีงบประมาณ พ.ศ. 2562 (ต.ค. 61 - ก.ย. 62)</t>
  </si>
  <si>
    <t>ต้นทุนผลผลิตประจำปีงบประมาณ พ.ศ. 2562 (ต.ค. 61- ก.ย. 62)</t>
  </si>
  <si>
    <t>ต้นทุนทางตรง ปีงบประมาณ พ.ศ. 2562</t>
  </si>
  <si>
    <t>ปีงบประมาณ พ.ศ. 2562</t>
  </si>
  <si>
    <t>สำหรับปีงบประมาณ พ.ศ. 2562</t>
  </si>
  <si>
    <t>การคำนวณต้นทุนต่อหน่วยผลผลิตของสำนักงานเศรษฐกิจการคลัง (สศค.) ประจำปีงบประมาณ พ.ศ. 2562</t>
  </si>
  <si>
    <t>ข้อมูลที่นำมาคำนวณต้นทุนต่อหน่วยผลผลิต ประจำปีงบประมาณ พ.ศ. 2562 จะใช้ข้อมูลค่าใช้จ่ายจาก</t>
  </si>
  <si>
    <t>งบประมาณ พ.ศ. 2561 และปีงบประมาณ พ.ศ. 2562 ว่ามีการเปลี่ยนแปลงเพิ่มขึ้นหรือลดลงอย่างไร รวมทั้งให้</t>
  </si>
  <si>
    <t>ระบบ GFMIS ตั้งแต่วันที่ 1 ตุลาคม 2561 - 30 กันยายน 2562 ซึ่งค่าใช้จ่ายดังกล่าวหากสามารถระบุได้ว่าเป็น</t>
  </si>
  <si>
    <t xml:space="preserve">1.2 การพัฒนาระบบการคลังท้องถิ่น </t>
  </si>
  <si>
    <t xml:space="preserve">และภาระทางการคลัง </t>
  </si>
  <si>
    <t>1.5 การบริหารวินัยทางการคลัง</t>
  </si>
  <si>
    <t>กิจกรรมย่อยที่  15</t>
  </si>
  <si>
    <t>กิจกรรมย่อยที่  20</t>
  </si>
  <si>
    <t>7. ต้นทุนในการผลิตผลผลิตอื่น</t>
  </si>
  <si>
    <t>-</t>
  </si>
  <si>
    <t>18.</t>
  </si>
  <si>
    <t>กิจกรรมย่อยที่  7</t>
  </si>
  <si>
    <t xml:space="preserve">จากการเปรียบเทียบผลการคำนวณต้นทุนกิจกรรมหลักแยกตามแหล่งเงิน ระหว่างปีงบประมาณ พ.ศ. 2562 และปีงบประมาณ พ.ศ. 2561 ต้นทุนต่อหน่วยไม่มีการเปลี่ยนแปลงเพิ่มขึ้น/(ลดลง) เกิน 20% </t>
  </si>
  <si>
    <t xml:space="preserve">                            ศูนย์ต้นทุนหลักที่ 7</t>
  </si>
  <si>
    <t>โดยมีค่าใช้จ่ายที่ไม่เกี่ยวข้องกับการผลิตผลผลิต จำนวน 5,228,703,289.52 บาท ดังนั้น จึงมีต้นทุนผลผลิตรวมทั้งสิ้น</t>
  </si>
  <si>
    <t xml:space="preserve">ได้แก่ ต้นทุนของสำนักนโยบายเศรษฐกิจระหว่างประเทศ ซึ่งมีต้นทุนรวมทั้งสิ้น 55,661,057.12 บาท </t>
  </si>
  <si>
    <t>ในปีงบประมาณ พ.ศ. 2562 ผลผลิตย่อยที่มีต้นทุนสูงสุด ได้แก่ ต้นทุนของผลผลิตย่อยที่ 7 การเสนอแนะ</t>
  </si>
  <si>
    <t>9.1 ยกร่างกฎหมาย (การจัดสรรต้นทุนคิดเป็นร้อยละ 50)</t>
  </si>
  <si>
    <t>9.2 งานคดีและนิติกรรมสัญญา (การจัดสรรต้นทุนคิดเป็นร้อยละ 50)</t>
  </si>
  <si>
    <t>กิจกรรมย่อยที่  1.4</t>
  </si>
  <si>
    <t xml:space="preserve">กิจกรรมย่อยที่ 1.4 ต้นทุนรวมเพิ่มขึ้นจากปีงบประมาณ พ.ศ. 2561 คิดเป็น 1.61 % แต่เนื่องจากมีปริมาณงานเพิ่มขึ้น คิดเป็น 50 % จึงส่งผลให้ต้นทุนต่อหน่วยลดลง คิดเป็น 32.26 % </t>
  </si>
  <si>
    <t xml:space="preserve">กิจกรรมย่อยที่ 2 ต้นทุนรวมเพิ่มขึ้นจากปีงบประมาณ พ.ศ. 2561 คิดเป็น 0.08 % แต่เนื่องจากมีปริมาณงานเพิ่มขึ้น คิดเป็น 45.24 % จึงส่งผลให้ต้นทุนต่อหน่วยลดลง คิดเป็น 31.09 % </t>
  </si>
  <si>
    <t xml:space="preserve">กิจกรรมย่อยที่ 20 ต้นทุนรวมเพิ่มขึ้นจากปีงบประมาณ พ.ศ. 2561 คิดเป็น 3.46 % แต่เนื่องจากมีปริมาณงานเพิ่มขึ้น คิดเป็น 69.88 % จึงส่งผลให้ต้นทุนต่อหน่วยลดลง คิดเป็น 39.10 % </t>
  </si>
  <si>
    <t xml:space="preserve">กิจกรรมย่อยที่ 24 ต้นทุนรวมลดลงจากปีงบประมาณ พ.ศ. 2561 คิดเป็น 7.12 % และมีปริมาณงานเพิ่มขึ้น คิดเป็น 100.00 % ทำให้ต้นทุนต่อหน่วยลดลง คิดเป็น 53.56 % </t>
  </si>
  <si>
    <t>9.1 ยกร่างกฎหมาย</t>
  </si>
  <si>
    <t xml:space="preserve">9.2 งานคดี นิติกรรมสัญญา </t>
  </si>
  <si>
    <t xml:space="preserve">9.3 การพัฒนากฎหมายและดำเนินภารกิจด้านกฎหมายอื่นๆ </t>
  </si>
  <si>
    <t>กิจกรรมย่อยที่ 9.1</t>
  </si>
  <si>
    <t xml:space="preserve">กิจกรรมย่อยที่ 9.2 </t>
  </si>
  <si>
    <t xml:space="preserve">กิจกรรมย่อยที่ 6 ต้นทุนรวมลดลงจากปีงบประมาณ พ.ศ. 2561 คิดเป็น 14.51 % และมีปริมาณงานลดลง 60 % จึงส่งผลให้ต้นทุนต่อหน่วยเพิ่มขึ้น คิดเป็น 113.71 % </t>
  </si>
  <si>
    <t xml:space="preserve">กิจกรรมย่อยที่ 3 ต้นทุนรวมเพิ่มขึ้นจากปีงบประมาณ พ.ศ. 2561 คิดเป็น 9.43 % ขณะที่ปริมาณงานลดลง 16.67 % จึงส่งผลให้ต้นทุนต่อหน่วยเพิ่มขึ้น คิดเป็น 31.31 % </t>
  </si>
  <si>
    <t xml:space="preserve">กิจกรรมย่อยที่ 15 ต้นทุนรวมลดลงจากปีก่อน 6.71 % แต่เนื่องจากมีปริมาณงานลดลง 21.82 % จึงส่งผลให้ต้นทุนต่อหน่วยเพิ่มขึ้น คิดเป็น 19.35 % </t>
  </si>
  <si>
    <t>กิจกรรมย่อยที่  25</t>
  </si>
  <si>
    <t>ผลผลิตย่อยที่ 7                    เหตุผล</t>
  </si>
  <si>
    <t xml:space="preserve">จากการเปรียบเทียบผลการคำนวณต้นทุนผลผลิตหลักแยกตามแหล่งเงิน ระหว่างปีงบประมาณ พ.ศ. 2562 และปีงบประมาณ พ.ศ. 2561 ต้นทุนต่อหน่วยไม่มีการเปลี่ยนแปลงเพิ่มขึ้น/(ลดลง) เกิน 20% </t>
  </si>
  <si>
    <t xml:space="preserve">                            ศูนย์ต้นทุนหลักที่ 2</t>
  </si>
  <si>
    <t xml:space="preserve">                            ศูนย์ต้นทุนหลักที่ 6</t>
  </si>
  <si>
    <t>ศูนย์ต้นทุนหลักที่ 3 เนื่องจากในปีงบประมาณ พ.ศ. 2562 มีค่าตอบแทนใช้สอยวัสดุ และสาธารณูปโภคเพิ่มขึ้น ส่วนหนึ่งเป็นผลเนื่องมาจากมีค่าใช้จ่ายในการจัดงานสัมมนาวิชาการของสำนักงานเศรษฐกิจการคลัง ประจำปีงบประมาณ 2562 จึงทำให้ต้นทุนผันแปรเพิ่มขึ้นจากปีก่อน คิดเป็น 354.70 %   และทำให้ต้นทุนรวมเพิ่มขึ้น 21.81 %</t>
  </si>
  <si>
    <t xml:space="preserve">ศูนย์ต้นทุนหลักที่ 7 ในปีงบประมาณ พ.ศ. 2562 มีค่าใช้จ่ายในการจัดประชุมรัฐมนตรีว่าการกระทรวงการคลังอาเซียน ครั้งที่ 23 และการประชุมอื่น ๆ ที่เกี่ยวข้อง จึงทำให้มีต้นทุนผันแปรเพิ่มขึ้นจากปีก่อน คิดเป็น 190.37 % และทำให้ต้นทุนรวมเพิ่มขึ้นจากปีงบประมาณ พ.ศ. 2561 คิดเป็น 103.91 %  </t>
  </si>
  <si>
    <t xml:space="preserve">ศูนย์ต้นทุนหลักที่ 1 ส่วนหนึ่งเนื่องมาจากในปีงบประมาณ พ.ศ. 2562 มีค่าตอบแทนใช้สอยวัสดุ และสาธารณูปโภคลดลง จึงทำให้ต้นทุนผันแปรลดลงจากปีก่อน คิดเป็น 56.15 %  </t>
  </si>
  <si>
    <t xml:space="preserve">ศูนย์ต้นทุนหลักที่ 2 ส่วนหนึ่งเนื่องมาจากในปีงบประมาณ พ.ศ. 2562 มีค่าตอบแทนใช้สอยวัสดุ และสาธารณูปโภคลดลง จึงทำให้ต้นทุนผันแปรลดลงจากปีก่อน คิดเป็น 34.46 %  </t>
  </si>
  <si>
    <t>ศูนย์ต้นทุนหลักที่ 6 ส่วนหนึ่งเนื่องมาจากในปีงบประมาณ พ.ศ. 2562 มีค่าตอบแทนใช้สอยวัสดุ และสาธารณูปโภคลดลง จึงทำให้ต้นทุนผันแปรลดลงจากปีก่อน คิดเป็น 48.25 % และทำให้ต้นทุนรวมลดลง 27.75 %</t>
  </si>
  <si>
    <t xml:space="preserve">ศูนย์ต้นทุนสนับสนุนที่ 4 ส่วนหนึ่งเนื่องมาจากในปีงบประมาณ พ.ศ. 2562 มีค่าตอบแทนใช้สอยวัสดุ และสาธารณูปโภคเพิ่มขึ้น จึงทำให้ต้นทุนผันแปรเพิ่มขึ้นจากปีก่อน คิดเป็น 545.39 %  </t>
  </si>
  <si>
    <t xml:space="preserve">  -  ค่าใช้จ่ายเดินทาง</t>
  </si>
  <si>
    <t xml:space="preserve">  -  ค่าจำหน่ายจากการขายสินทรัพย์</t>
  </si>
  <si>
    <t>ในปีงบประมาณ พ.ศ. 2562 ไม่มีค่าใช้จ่ายในการเดินทาง จึงทำให้ต้นทุนผันแปรลดลงจากปีก่อน 100 %</t>
  </si>
  <si>
    <t>สำนักงานเศรษฐกิจการคลังมีต้นทุนคงที่ในส่วนของค่าจำหน่ายจากการขายสินทรัพย์ลดลง ทั้งนี้ เนื่องมาจากในปีงบประมาณ พ.ศ. 2562</t>
  </si>
  <si>
    <t>ลดลงจากปีงบประมาณ พ.ศ. 2561 คิดเป็น 99.58 %</t>
  </si>
  <si>
    <t xml:space="preserve">  -  ค่าใช้จ่ายฝึกอบรม</t>
  </si>
  <si>
    <t>ในปีงบประมาณ พ.ศ. 2561 มีค่าใช้จ่ายในการดำเนินโครงการค่ายเยาวชนฯ ซึ่งในปีงบประมาณ พ.ศ. 2562 ไม่ได้มีการดำเนินโครงการดังกล่าว</t>
  </si>
  <si>
    <t xml:space="preserve">ดังนั้น จึงทำให้ต้นทุนผันแปรและต้นทุนรวมลดลงจากปีงบประมาณ พ.ศ. 2561 คิดเป็น 98.61 % </t>
  </si>
  <si>
    <t>ได้กำหนดให้มีกิจกรรมย่อยของหน่วยงานหลักจำนวน 16 กิจกรรม และกิจกรรมย่อยของหน่วยงานสนับสนุนจำนวน</t>
  </si>
  <si>
    <t xml:space="preserve">ผลผลิตย่อยที่ 7 ในปีงบประมาณ พ.ศ. 2562 มีค่าใช้จ่ายในการจัดประชุมรัฐมนตรีว่าการกระทรวงการคลังอาเซียน ครั้งที่ 23 และการประชุมอื่น ๆ ที่เกี่ยวข้อง จึงทำให้มีต้นทุนรวมเพิ่มขึ้นจากปีก่อน คิดเป็น 58.99 % ในขณะที่ปริมาณงานเท่าเดิม ทำให้ต้นทุนต่อหน่วยเพิ่มขึ้นจากปีงบประมาณ พ.ศ. 2561 คิดเป็น 58.99 %  </t>
  </si>
  <si>
    <t xml:space="preserve">วิเคราะห์หาสาเหตุของการเปลี่ยนแปลงที่เกิดขึ้นสำหรับกรณีที่มีต้นทุนต่อหน่วยมีการเปลี่ยนแปลงเพิ่มขึ้น/ลดลง </t>
  </si>
  <si>
    <t>ในปีงบประมาณ พ.ศ. 2562 ศูนย์ต้นทุนที่มีต้นทุนทางตรงคงที่เพิ่มขึ้นสูงสุด ได้แก่ สำนักนโยบายเศรษฐกิจ</t>
  </si>
  <si>
    <t>กรณีที่สามารถระบุต้นทุนกิจกรรมย่อยเข้าสู่ผลผลิตย่อยได้จะระบุเข้าสู่ผลผลิตย่อยนั้น ๆ และ</t>
  </si>
  <si>
    <t>จากตารางค่าใช้จ่ายข้างต้น พบว่า ในปีงบประมาณ พ.ศ. 2562 ค่าตอบแทน ใช้สอยวัสดุ และค่าสาธารณูปโภค</t>
  </si>
  <si>
    <t>เพิ่มขึ้นร้อยละ 54.25 ส่วนหนึ่งเป็นผลเนื่องมาจากในปีงบประมาณ พ.ศ. 2562 มีค่าใช้จ่ายในการจัดประชุมรัฐมนตรีว่าการ</t>
  </si>
  <si>
    <t>กระทรวงการคลังอาเซียน ครั้งที่ 23 และการประชุมอื่น ๆ ที่เกี่ยวข้อง จึงทำให้ต้นทุนดังกล่าวเพิ่มขึ้น และต้นทุนในการผลิต</t>
  </si>
  <si>
    <t>มีค่าใช้จ่ายเกี่ยวกับค่าครุภัณฑ์ของสำนักงานที่ปรึกษาในต่างประเทศ จึงทำให้ต้นทุนดังกล่าวเพิ่มขึ้น</t>
  </si>
  <si>
    <t xml:space="preserve">โดยมีต้นทุนรวมทั้งสิ้น 52,273,024.87 บาท </t>
  </si>
  <si>
    <t>สำนักงานเศรษฐกิจการคลังมีกิจกรรมย่อย รวม 34 กิจกรรม โดยแยกเป็นกิจกรรมย่อยของหน่วยงานหลัก</t>
  </si>
  <si>
    <t>จำนวน 16 กิจกรรม และกิจกรรมย่อยของหน่วยงานสนับสนุน จำนวน 18 กิจกรรม ซึ่งเมื่อพิจารณาต้นทุนกิจกรรมย่อย</t>
  </si>
  <si>
    <t>จำนวน 37,044,215.24 บาท งบกลาง จำนวน 15,895,196.32 บาท และค่าเสื่อมราคา จำนวน 38,800,442.11 บาท</t>
  </si>
  <si>
    <t>นโยบายด้านเศรษฐกิจระหว่างประเทศ จำนวน 64,551,989.46 บาท ซึ่งจะมีค่าใช้จ่ายในการจัดประชุมรัฐมนตรีว่าการ</t>
  </si>
  <si>
    <t>กระทรวงการคลังอาเซียน ครั้งที่ 23 และการประชุมอื่น ๆ ที่เกี่ยวข้อง รวมอยู่ในต้นทุนผลผลิตย่อยดังกล่าว</t>
  </si>
  <si>
    <t>ทั้งสิ้น 41,028,508.71 บาท มีปริมาณงานจำนวน 3 เรื่อง คิดเป็นต้นทุนต่อหน่วย จำนวน 13,676,169.57 บาท ต่อเรื่อง</t>
  </si>
  <si>
    <t>จากปีงบประมาณ พ.ศ. 2561 คิดเป็นร้อยละ 4.90</t>
  </si>
  <si>
    <t>ระหว่างประเทศ เป็นผลมาจากในปีงบประมาณ พ.ศ. 2562 มีค่าใช้จ่ายบุคลากรเพิ่มขึ้นจากปีก่อน จึงทำให้ต้นทุนคงที่</t>
  </si>
  <si>
    <t>ศูนย์ต้นทุนที่มีต้นทุนทางตรงผันแปรเพิ่มขึ้นสูงสุด ได้แก่ กลุ่มตรวจสอบภายใน ซึ่งเป็นผลเนื่องมาจาก</t>
  </si>
  <si>
    <t xml:space="preserve">ในปีงบประมาณ พ.ศ. 2562 มีค่าตอบแทน ใช้สอยวัสดุ และสาธารณูปโภค เพิ่มขึ้นจากปีงบประมาณ พ.ศ. 2561 </t>
  </si>
  <si>
    <t>ในปีงบประมาณ พ.ศ. 2562 ต้นทุนทางอ้อมคงที่ลดลงสูงสุด ได้แก่ ค่าจำหน่ายจากการขายสินทรัพย์</t>
  </si>
  <si>
    <t>คิดเป็นร้อยละ 99.58 ซึ่งเป็นผลเนื่องมาจากในปีงบประมาณ พ.ศ. 2562 สำนักงานเศรษฐกิจการคลังมีการบริจาคครุภัณฑ์</t>
  </si>
  <si>
    <t>น้อยกว่าในปีงบประมาณ พ.ศ. 2561 ดังนั้น จึงทำให้ต้นทุนทางอ้อมคงที่และต้นทุนรวมลดลงจากปีงบประมาณ พ.ศ. 2561</t>
  </si>
  <si>
    <t xml:space="preserve">ต้นทุนทางอ้อมผันแปรลดลงสูงสุดจากปีงบประมาณ พ.ศ. 2561 ได้แก่ ค่าใช้จ่ายเดินทาง คิดเป็นร้อยละ 100 </t>
  </si>
  <si>
    <t>เนื่องจากในปีงบประมาณ พ.ศ. 2562 ไม่มีค่าใช้จ่ายดังกล่าวเกิดขึ้น</t>
  </si>
  <si>
    <t>เกินร้อยละ 20</t>
  </si>
  <si>
    <t>เพิ่มขึ้นร้อยละ 15.81 และเนื่องจากในปีงบประมาณ พ.ศ. 2562 ได้มีค่าใช้จ่ายในการจัดประชุมรัฐมนตรีว่าการ</t>
  </si>
  <si>
    <t xml:space="preserve">กระทรวงการคลังอาเซียน ครั้งที่ 23 และการประชุมอื่น ๆ ที่เกี่ยวข้อง  จึงทำให้มีต้นทุนผันแปรเพิ่มขึ้นร้อยละ 190.37 </t>
  </si>
  <si>
    <t xml:space="preserve">และเป็นผลให้ต้นทุนรวมเพิ่มขึ้นจากปีก่อน คิดเป็นร้อยละ 103.91 </t>
  </si>
  <si>
    <t xml:space="preserve">จึงทำให้ต้นทุนผันแปรเพิ่มขึ้นร้อยละ 545.39 </t>
  </si>
  <si>
    <r>
      <t>1. สำนักนโยบายการคลัง (สนค.)</t>
    </r>
    <r>
      <rPr>
        <sz val="12"/>
        <color indexed="9"/>
        <rFont val="TH SarabunPSK"/>
        <family val="2"/>
      </rPr>
      <t xml:space="preserve"> 02</t>
    </r>
  </si>
  <si>
    <r>
      <t>2. สำนักนโยบายภาษี (สนภ.)</t>
    </r>
    <r>
      <rPr>
        <sz val="12"/>
        <color indexed="9"/>
        <rFont val="TH SarabunPSK"/>
        <family val="2"/>
      </rPr>
      <t xml:space="preserve"> 03</t>
    </r>
  </si>
  <si>
    <r>
      <t xml:space="preserve">3. สำนักนโยบายระบบการเงินและสถาบันการเงิน (สกง.) </t>
    </r>
    <r>
      <rPr>
        <sz val="12"/>
        <color indexed="9"/>
        <rFont val="TH SarabunPSK"/>
        <family val="2"/>
      </rPr>
      <t>04</t>
    </r>
  </si>
  <si>
    <r>
      <t>4. สำนักนโยบายระบบการคุ้มครองผลประโยชน์ทางการเงิน (สคป.)</t>
    </r>
    <r>
      <rPr>
        <sz val="12"/>
        <color indexed="9"/>
        <rFont val="TH SarabunPSK"/>
        <family val="2"/>
      </rPr>
      <t xml:space="preserve"> 16</t>
    </r>
  </si>
  <si>
    <r>
      <t xml:space="preserve">5. สำนักนโยบายการออมและการลงทุน (สอล.) </t>
    </r>
    <r>
      <rPr>
        <sz val="12"/>
        <color indexed="9"/>
        <rFont val="TH SarabunPSK"/>
        <family val="2"/>
      </rPr>
      <t>15</t>
    </r>
  </si>
  <si>
    <r>
      <t xml:space="preserve">6. สำนักนโยบายเศรษฐกิจมหภาค (สศม.) </t>
    </r>
    <r>
      <rPr>
        <sz val="12"/>
        <color indexed="9"/>
        <rFont val="TH SarabunPSK"/>
        <family val="2"/>
      </rPr>
      <t>17</t>
    </r>
  </si>
  <si>
    <r>
      <t xml:space="preserve">7. สำนักนโยบายเศรษฐกิจระหว่างประเทศ (สศร.) </t>
    </r>
    <r>
      <rPr>
        <sz val="12"/>
        <color indexed="9"/>
        <rFont val="TH SarabunPSK"/>
        <family val="2"/>
      </rPr>
      <t>18</t>
    </r>
  </si>
  <si>
    <r>
      <t>8. กลุ่มที่ปรึกษาเศรษฐกิจและการคลังในต่างประเทศ (กตป.)</t>
    </r>
    <r>
      <rPr>
        <sz val="12"/>
        <color indexed="9"/>
        <rFont val="TH SarabunPSK"/>
        <family val="2"/>
      </rPr>
      <t xml:space="preserve"> 10</t>
    </r>
  </si>
  <si>
    <r>
      <t>9. สำนักกฎหมาย (สกม.)</t>
    </r>
    <r>
      <rPr>
        <sz val="12"/>
        <color indexed="9"/>
        <rFont val="TH SarabunPSK"/>
        <family val="2"/>
      </rPr>
      <t xml:space="preserve"> 06</t>
    </r>
  </si>
  <si>
    <r>
      <t xml:space="preserve">10. สำนักนโยบายพัฒนาระบบการเงินภาคประชาชน (สพช.) </t>
    </r>
    <r>
      <rPr>
        <sz val="12"/>
        <color indexed="9"/>
        <rFont val="TH SarabunPSK"/>
        <family val="2"/>
      </rPr>
      <t>28</t>
    </r>
  </si>
  <si>
    <r>
      <t xml:space="preserve">1. สำนักงานเลขานุการกรม (สลข.) </t>
    </r>
    <r>
      <rPr>
        <sz val="12"/>
        <color indexed="9"/>
        <rFont val="TH SarabunPSK"/>
        <family val="2"/>
      </rPr>
      <t>21-25/27</t>
    </r>
  </si>
  <si>
    <r>
      <t xml:space="preserve">2. ศูนย์เทคโนโลยีสารสนเทศ (ศทส.) </t>
    </r>
    <r>
      <rPr>
        <sz val="12"/>
        <color indexed="9"/>
        <rFont val="TH SarabunPSK"/>
        <family val="2"/>
      </rPr>
      <t xml:space="preserve"> 13</t>
    </r>
  </si>
  <si>
    <r>
      <t xml:space="preserve">3. กลุ่มพัฒนาระบบบริหาร (กพบ.) </t>
    </r>
    <r>
      <rPr>
        <sz val="12"/>
        <color indexed="9"/>
        <rFont val="TH SarabunPSK"/>
        <family val="2"/>
      </rPr>
      <t>19</t>
    </r>
  </si>
  <si>
    <r>
      <t xml:space="preserve">4. กลุ่มตรวจสอบภายใน (กตส.) </t>
    </r>
    <r>
      <rPr>
        <sz val="12"/>
        <color indexed="9"/>
        <rFont val="TH SarabunPSK"/>
        <family val="2"/>
      </rPr>
      <t>20</t>
    </r>
  </si>
  <si>
    <r>
      <t xml:space="preserve">5. ศูนย์บริหารงานวิจัยและบรรณสารสนเทศ (ศวบ.) </t>
    </r>
    <r>
      <rPr>
        <sz val="12"/>
        <color indexed="9"/>
        <rFont val="TH SarabunPSK"/>
        <family val="2"/>
      </rPr>
      <t>26</t>
    </r>
  </si>
  <si>
    <t>สำนักงานเศรษฐกิจการคลังมีการบริจาคครุภัณฑ์น้อยกว่าในปีงบประมาณ พ.ศ. 2561 ดังนั้น จึงทำให้ต้นทุนคงที่และต้นทุนรวม</t>
  </si>
  <si>
    <t>จำนวนวัน คน งานตรวจสอบ</t>
  </si>
  <si>
    <t xml:space="preserve"> ด้านวินัยและความรับผิดทางละเมิด (การจัดสรรต้นทุนคิดเป็นร้อยละ 2)</t>
  </si>
  <si>
    <t>ด้านบริหารบุคลากร (การจัดสรรต้นทุนคิดเป็นร้อยละ 98)</t>
  </si>
  <si>
    <t>จำนวนชั่วโมงคนการฝึกอบรม</t>
  </si>
  <si>
    <t xml:space="preserve">กิจกรรมย่อยที่ 7 ในปีงบประมาณ พ.ศ. 2562 มีค่าใช้จ่ายในการจัดประชุมรัฐมนตรีว่าการกระทรวงการคลังอาเซียน ครั้งที่ 23 และการประชุมอื่น ๆ ที่เกี่ยวข้อง จึงทำให้มีต้นทุนรวมเพิ่มขึ้นจากปีก่อน คิดเป็น 83.51 % และมีปริมาณงานลดลงจากปีก่อน 42.86 % เป็นผลให้ต้นทุนต่อหน่วยเพิ่มขึ้นจากปีงบประมาณ พ.ศ. 2561 คิดเป็น 221.14 %  </t>
  </si>
  <si>
    <t xml:space="preserve">กิจกรรมย่อยที่ 9.1 เนื่องจากในปีงบประมาณ พ.ศ. 2562 มีการปรับสัดส่วนในการคำนวณต้นทุนค่าใช้จ่าย จึงทำให้ต้นทุนรวมเพิ่มขึ้นจากปีก่อน 28.10 % ในขณะที่ปริมาณงานลดลง 36.84 % เป็นผลให้ต้นทุนต่อหน่วยเพิ่มขึ้น 102.82 % </t>
  </si>
  <si>
    <t xml:space="preserve">กิจกรรมย่อยที่ 9.2 เนื่องจากในปีงบประมาณ พ.ศ. 2562 มีการปรับสัดส่วนในการคำนวณต้นทุนค่าใช้จ่าย จึงทำให้ต้นทุนรวมเพิ่มขึ้นจากปีก่อน 256.20 % ในขณะที่ปริมาณงานเพิ่มขึ้น 41.51 % เป็นผลให้ต้นทุนต่อหน่วยเพิ่มขึ้น 81.05 % </t>
  </si>
  <si>
    <t xml:space="preserve">กิจกรรมย่อยที่ 25 มีต้นทุนต่อหน่วยลดลงจากปีก่อน  คิดเป็น 14.74 % ส่วนหนึ่งเป็นผลเนื่องมาจากค่าใช้จ่ายบุคลากรลดลง ในขณะที่ปริมาณงานเท่าเดิม จึงทำให้ต้นทุนต่อหน่วยลดลง คิดเป็น 14.74 % </t>
  </si>
  <si>
    <t xml:space="preserve">ศูนย์ต้นทุนหลักที่ 9 ส่วนหนึ่งเนื่องมาจากในปีงบประมาณ พ.ศ. 2562 มีค่าตอบแทนใช้สอยวัสดุ และสาธารณูปโภคเพิ่มขึ้น จึงทำให้ต้นทุนผันแปรเพิ่มขึ้นจากปีก่อน คิดเป็น 74.97 %  </t>
  </si>
  <si>
    <t>ในปีงบประมาณ พ.ศ. 2562 มีค่าใช้จ่ายจากระบบ GFMIS เป็นจำนวนทั้งสิ้น 5,556,396,171.57 บาท</t>
  </si>
  <si>
    <t>จำนวน 327,692,882.05 บาท ซึ่งลดลงจากปีงบประมาณ พ.ศ. 2561 จำนวน 15,306,616.72 บาท ดังนี้</t>
  </si>
  <si>
    <t xml:space="preserve">ผลผลิตอื่นเพิ่มขึ้นจากปีงบประมาณ พ.ศ. 2561 ร้อยละ 1,277.06 ส่วนหนึ่งเป็นผลเนื่องมาจากในปีงบประมาณ พ.ศ. 2562 </t>
  </si>
  <si>
    <t xml:space="preserve">รวมเป็นต้นทุนรวมทั้งสิ้น 327,692,882.05 บาท </t>
  </si>
  <si>
    <t xml:space="preserve">ในปีงบประมาณพ.ศ. 2562 กิจกรรมหลักที่ 1 มีต้นทุนรวมทั้งสิ้น 286,664,373.34 บาท และมีปริมาณงาน </t>
  </si>
  <si>
    <t>จำนวน 49 เรื่อง ดังนั้น จึงมีต้นทุนต่อหน่วย จำนวน 5,850,293.33 บาท ต่อเรื่อง และ กิจกรรมหลักที่ 2 มีต้นทุนรวม</t>
  </si>
  <si>
    <t xml:space="preserve">และเศรษฐกิจที่เกี่ยวข้อง โดยในปีงบประมาณ พ.ศ. 2562 มีต้นทุนผลผลิตหลักรวมจำนวน 327,692,882.05 บาท </t>
  </si>
  <si>
    <t xml:space="preserve">ซึ่งประกอบด้วยต้นทุนจากเงินในงบประมาณจำนวน 235,953,028.38 บาท เงินนอกงบประมาณจำนวน </t>
  </si>
  <si>
    <t>ตามเกณฑ์การประเมินผลการปฏิบัติงานด้านบัญชีภาครัฐของส่วนราชการ ประจำปีงบประมาณ พ.ศ. 2563</t>
  </si>
  <si>
    <t xml:space="preserve">แยกตามแหล่งเงินพบว่า มีต้นทุนรวมจากเงินในงบประมาณ จำนวน 235,953,028.88 บาท เงินนอกงบประมาณ </t>
  </si>
  <si>
    <t xml:space="preserve">37,044,215.24 บาท งบกลางจำนวน 15,895,196.32 บาท และค่าเสื่อมราคาจำนวน 38,800,442.11 บาท </t>
  </si>
  <si>
    <t>และมีต้นทุนต่อหน่วยจำนวน 327,692,882.05 บาท ซึ่งเมื่อพิจารณาต้นทุนผลผลิตหลักแล้วพบว่า ต้นทุนต่อหน่วยเพิ่มขึ้น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</si>
</sst>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5" formatCode="_(* #,##0.00_);_(* \(#,##0.00\);_(* &quot;-&quot;??_);_(@_)"/>
    <numFmt numFmtId="183" formatCode="_(* #,##0.000000_);_(* \(#,##0.000000\);_(* &quot;-&quot;??_);_(@_)"/>
    <numFmt numFmtId="185" formatCode="_(* #,##0_);_(* \(#,##0\);_(* &quot;-&quot;??_);_(@_)"/>
  </numFmts>
  <fonts count="43">
    <font>
      <sz val="10"/>
      <name val="Arial"/>
    </font>
    <font>
      <sz val="10"/>
      <name val="Arial"/>
    </font>
    <font>
      <sz val="14"/>
      <name val="AngsanaUPC"/>
      <family val="1"/>
      <charset val="222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u/>
      <sz val="16"/>
      <name val="TH SarabunPSK"/>
      <family val="2"/>
    </font>
    <font>
      <u val="singleAccounting"/>
      <sz val="16"/>
      <name val="TH SarabunPSK"/>
      <family val="2"/>
    </font>
    <font>
      <b/>
      <u val="doubleAccounting"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2"/>
      <color indexed="9"/>
      <name val="TH SarabunPSK"/>
      <family val="2"/>
    </font>
    <font>
      <b/>
      <u val="singleAccounting"/>
      <sz val="16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  <font>
      <sz val="14"/>
      <color rgb="FFFF0000"/>
      <name val="AngsanaUPC"/>
      <family val="1"/>
      <charset val="22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sz val="14"/>
      <color rgb="FF0000FF"/>
      <name val="AngsanaUPC"/>
      <family val="1"/>
      <charset val="222"/>
    </font>
    <font>
      <sz val="14"/>
      <color rgb="FF0000FF"/>
      <name val="TH SarabunPSK"/>
      <family val="2"/>
    </font>
    <font>
      <b/>
      <sz val="14"/>
      <color theme="6" tint="0.79998168889431442"/>
      <name val="TH SarabunPSK"/>
      <family val="2"/>
    </font>
    <font>
      <sz val="14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6">
    <xf numFmtId="0" fontId="0" fillId="0" borderId="0"/>
    <xf numFmtId="175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30" fillId="5" borderId="79" applyNumberFormat="0" applyFont="0" applyAlignment="0" applyProtection="0"/>
    <xf numFmtId="0" fontId="30" fillId="5" borderId="79" applyNumberFormat="0" applyFont="0" applyAlignment="0" applyProtection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</cellStyleXfs>
  <cellXfs count="64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4" fillId="0" borderId="0" xfId="0" applyFont="1"/>
    <xf numFmtId="175" fontId="5" fillId="0" borderId="0" xfId="1" applyFont="1"/>
    <xf numFmtId="175" fontId="8" fillId="0" borderId="0" xfId="1" applyFont="1"/>
    <xf numFmtId="43" fontId="9" fillId="0" borderId="0" xfId="0" applyNumberFormat="1" applyFont="1"/>
    <xf numFmtId="175" fontId="5" fillId="0" borderId="0" xfId="0" applyNumberFormat="1" applyFont="1"/>
    <xf numFmtId="0" fontId="3" fillId="0" borderId="0" xfId="0" applyFont="1"/>
    <xf numFmtId="0" fontId="10" fillId="0" borderId="0" xfId="0" applyFont="1"/>
    <xf numFmtId="175" fontId="6" fillId="0" borderId="0" xfId="1" applyFont="1"/>
    <xf numFmtId="185" fontId="6" fillId="0" borderId="0" xfId="1" applyNumberFormat="1" applyFont="1"/>
    <xf numFmtId="0" fontId="6" fillId="2" borderId="2" xfId="0" applyFont="1" applyFill="1" applyBorder="1" applyAlignment="1">
      <alignment horizontal="center"/>
    </xf>
    <xf numFmtId="0" fontId="6" fillId="0" borderId="0" xfId="0" applyFont="1"/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/>
    </xf>
    <xf numFmtId="185" fontId="6" fillId="2" borderId="4" xfId="1" applyNumberFormat="1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/>
    </xf>
    <xf numFmtId="175" fontId="6" fillId="2" borderId="4" xfId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0" fillId="0" borderId="1" xfId="0" applyFont="1" applyBorder="1"/>
    <xf numFmtId="175" fontId="6" fillId="0" borderId="1" xfId="1" applyFont="1" applyBorder="1"/>
    <xf numFmtId="175" fontId="11" fillId="0" borderId="1" xfId="1" applyFont="1" applyBorder="1"/>
    <xf numFmtId="175" fontId="12" fillId="0" borderId="1" xfId="1" applyFont="1" applyBorder="1"/>
    <xf numFmtId="175" fontId="11" fillId="0" borderId="0" xfId="1" applyFont="1"/>
    <xf numFmtId="0" fontId="11" fillId="0" borderId="1" xfId="0" applyFont="1" applyFill="1" applyBorder="1"/>
    <xf numFmtId="0" fontId="4" fillId="0" borderId="6" xfId="0" applyFont="1" applyBorder="1" applyAlignment="1">
      <alignment horizontal="center"/>
    </xf>
    <xf numFmtId="175" fontId="12" fillId="0" borderId="6" xfId="1" applyFont="1" applyBorder="1"/>
    <xf numFmtId="175" fontId="12" fillId="0" borderId="0" xfId="1" applyFont="1"/>
    <xf numFmtId="175" fontId="10" fillId="0" borderId="0" xfId="1" applyFont="1"/>
    <xf numFmtId="0" fontId="4" fillId="2" borderId="7" xfId="0" applyFont="1" applyFill="1" applyBorder="1" applyAlignment="1">
      <alignment horizontal="center"/>
    </xf>
    <xf numFmtId="0" fontId="10" fillId="0" borderId="0" xfId="0" applyFont="1" applyBorder="1"/>
    <xf numFmtId="0" fontId="6" fillId="0" borderId="0" xfId="0" applyFont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10" fillId="0" borderId="3" xfId="0" applyFont="1" applyBorder="1"/>
    <xf numFmtId="175" fontId="10" fillId="0" borderId="3" xfId="1" applyFont="1" applyBorder="1"/>
    <xf numFmtId="175" fontId="6" fillId="0" borderId="3" xfId="1" applyFont="1" applyBorder="1"/>
    <xf numFmtId="0" fontId="10" fillId="0" borderId="8" xfId="0" applyFont="1" applyBorder="1"/>
    <xf numFmtId="0" fontId="10" fillId="0" borderId="5" xfId="0" applyFont="1" applyBorder="1"/>
    <xf numFmtId="175" fontId="10" fillId="0" borderId="5" xfId="1" applyFont="1" applyBorder="1"/>
    <xf numFmtId="175" fontId="6" fillId="0" borderId="5" xfId="1" applyFont="1" applyBorder="1"/>
    <xf numFmtId="0" fontId="10" fillId="0" borderId="9" xfId="0" applyFont="1" applyBorder="1"/>
    <xf numFmtId="0" fontId="10" fillId="0" borderId="4" xfId="0" applyFont="1" applyBorder="1"/>
    <xf numFmtId="175" fontId="10" fillId="0" borderId="4" xfId="1" applyFont="1" applyBorder="1"/>
    <xf numFmtId="0" fontId="10" fillId="0" borderId="10" xfId="0" applyFont="1" applyBorder="1"/>
    <xf numFmtId="0" fontId="10" fillId="0" borderId="11" xfId="0" applyFont="1" applyBorder="1"/>
    <xf numFmtId="175" fontId="10" fillId="0" borderId="1" xfId="1" applyFont="1" applyBorder="1"/>
    <xf numFmtId="175" fontId="10" fillId="0" borderId="0" xfId="1" applyFont="1" applyBorder="1"/>
    <xf numFmtId="43" fontId="10" fillId="0" borderId="3" xfId="0" applyNumberFormat="1" applyFont="1" applyBorder="1"/>
    <xf numFmtId="0" fontId="6" fillId="0" borderId="6" xfId="0" applyFont="1" applyBorder="1" applyAlignment="1">
      <alignment horizontal="center"/>
    </xf>
    <xf numFmtId="175" fontId="6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7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Border="1" applyAlignment="1"/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13" xfId="0" applyFont="1" applyBorder="1"/>
    <xf numFmtId="175" fontId="10" fillId="0" borderId="16" xfId="1" applyFont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175" fontId="6" fillId="0" borderId="14" xfId="0" applyNumberFormat="1" applyFont="1" applyBorder="1"/>
    <xf numFmtId="175" fontId="6" fillId="0" borderId="15" xfId="0" applyNumberFormat="1" applyFont="1" applyBorder="1"/>
    <xf numFmtId="175" fontId="10" fillId="0" borderId="0" xfId="0" applyNumberFormat="1" applyFont="1"/>
    <xf numFmtId="175" fontId="6" fillId="0" borderId="0" xfId="1" applyFont="1" applyAlignment="1">
      <alignment horizontal="right"/>
    </xf>
    <xf numFmtId="175" fontId="6" fillId="2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75" fontId="10" fillId="0" borderId="6" xfId="0" applyNumberFormat="1" applyFont="1" applyBorder="1"/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75" fontId="10" fillId="0" borderId="3" xfId="1" applyFont="1" applyBorder="1" applyAlignment="1">
      <alignment horizontal="center"/>
    </xf>
    <xf numFmtId="175" fontId="10" fillId="0" borderId="12" xfId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175" fontId="10" fillId="0" borderId="21" xfId="1" applyFont="1" applyBorder="1"/>
    <xf numFmtId="175" fontId="10" fillId="0" borderId="13" xfId="1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2" xfId="0" applyFont="1" applyBorder="1" applyAlignment="1">
      <alignment horizontal="center"/>
    </xf>
    <xf numFmtId="175" fontId="10" fillId="0" borderId="24" xfId="1" applyFont="1" applyBorder="1"/>
    <xf numFmtId="0" fontId="10" fillId="0" borderId="25" xfId="0" applyFont="1" applyBorder="1" applyAlignment="1">
      <alignment horizontal="center"/>
    </xf>
    <xf numFmtId="175" fontId="10" fillId="0" borderId="26" xfId="1" applyFont="1" applyBorder="1"/>
    <xf numFmtId="0" fontId="10" fillId="0" borderId="21" xfId="0" applyFont="1" applyBorder="1"/>
    <xf numFmtId="175" fontId="6" fillId="0" borderId="6" xfId="1" applyFont="1" applyBorder="1"/>
    <xf numFmtId="0" fontId="6" fillId="0" borderId="6" xfId="0" applyFont="1" applyBorder="1"/>
    <xf numFmtId="175" fontId="6" fillId="0" borderId="27" xfId="1" applyFont="1" applyBorder="1"/>
    <xf numFmtId="175" fontId="10" fillId="0" borderId="3" xfId="0" applyNumberFormat="1" applyFont="1" applyBorder="1"/>
    <xf numFmtId="175" fontId="10" fillId="0" borderId="28" xfId="0" applyNumberFormat="1" applyFont="1" applyBorder="1"/>
    <xf numFmtId="0" fontId="10" fillId="0" borderId="29" xfId="0" applyFont="1" applyBorder="1"/>
    <xf numFmtId="175" fontId="10" fillId="0" borderId="4" xfId="0" applyNumberFormat="1" applyFont="1" applyBorder="1"/>
    <xf numFmtId="0" fontId="6" fillId="0" borderId="30" xfId="0" applyFont="1" applyBorder="1" applyAlignment="1">
      <alignment horizontal="center"/>
    </xf>
    <xf numFmtId="175" fontId="6" fillId="0" borderId="31" xfId="1" applyFont="1" applyBorder="1"/>
    <xf numFmtId="175" fontId="6" fillId="0" borderId="30" xfId="1" applyFont="1" applyBorder="1"/>
    <xf numFmtId="0" fontId="10" fillId="0" borderId="28" xfId="0" applyFont="1" applyBorder="1"/>
    <xf numFmtId="175" fontId="10" fillId="0" borderId="32" xfId="0" applyNumberFormat="1" applyFont="1" applyBorder="1"/>
    <xf numFmtId="175" fontId="10" fillId="0" borderId="33" xfId="0" applyNumberFormat="1" applyFont="1" applyBorder="1"/>
    <xf numFmtId="175" fontId="10" fillId="0" borderId="20" xfId="0" applyNumberFormat="1" applyFont="1" applyBorder="1"/>
    <xf numFmtId="0" fontId="10" fillId="0" borderId="34" xfId="0" applyFont="1" applyBorder="1"/>
    <xf numFmtId="175" fontId="10" fillId="0" borderId="26" xfId="0" applyNumberFormat="1" applyFont="1" applyBorder="1"/>
    <xf numFmtId="175" fontId="10" fillId="0" borderId="35" xfId="0" applyNumberFormat="1" applyFont="1" applyBorder="1"/>
    <xf numFmtId="175" fontId="10" fillId="0" borderId="25" xfId="0" applyNumberFormat="1" applyFont="1" applyBorder="1"/>
    <xf numFmtId="0" fontId="10" fillId="0" borderId="36" xfId="0" applyFont="1" applyBorder="1"/>
    <xf numFmtId="0" fontId="10" fillId="0" borderId="6" xfId="0" applyFont="1" applyBorder="1" applyAlignment="1">
      <alignment horizontal="center"/>
    </xf>
    <xf numFmtId="175" fontId="10" fillId="0" borderId="37" xfId="0" applyNumberFormat="1" applyFont="1" applyBorder="1"/>
    <xf numFmtId="185" fontId="6" fillId="2" borderId="10" xfId="1" applyNumberFormat="1" applyFont="1" applyFill="1" applyBorder="1" applyAlignment="1">
      <alignment horizontal="center"/>
    </xf>
    <xf numFmtId="185" fontId="6" fillId="2" borderId="24" xfId="1" applyNumberFormat="1" applyFont="1" applyFill="1" applyBorder="1" applyAlignment="1">
      <alignment horizontal="center"/>
    </xf>
    <xf numFmtId="175" fontId="10" fillId="0" borderId="7" xfId="1" applyFont="1" applyBorder="1"/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185" fontId="6" fillId="0" borderId="18" xfId="1" applyNumberFormat="1" applyFont="1" applyBorder="1"/>
    <xf numFmtId="175" fontId="12" fillId="0" borderId="18" xfId="1" applyFont="1" applyBorder="1"/>
    <xf numFmtId="175" fontId="11" fillId="0" borderId="3" xfId="1" applyFont="1" applyBorder="1"/>
    <xf numFmtId="175" fontId="12" fillId="0" borderId="31" xfId="1" applyFont="1" applyBorder="1"/>
    <xf numFmtId="175" fontId="11" fillId="0" borderId="0" xfId="0" applyNumberFormat="1" applyFont="1"/>
    <xf numFmtId="0" fontId="6" fillId="4" borderId="1" xfId="0" applyFont="1" applyFill="1" applyBorder="1" applyAlignment="1">
      <alignment horizontal="center"/>
    </xf>
    <xf numFmtId="175" fontId="6" fillId="0" borderId="15" xfId="1" applyFont="1" applyBorder="1"/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175" fontId="11" fillId="0" borderId="7" xfId="1" applyFont="1" applyBorder="1"/>
    <xf numFmtId="175" fontId="11" fillId="0" borderId="8" xfId="1" applyFont="1" applyBorder="1"/>
    <xf numFmtId="175" fontId="12" fillId="0" borderId="15" xfId="1" applyFont="1" applyBorder="1"/>
    <xf numFmtId="0" fontId="10" fillId="0" borderId="38" xfId="0" applyFont="1" applyBorder="1"/>
    <xf numFmtId="0" fontId="11" fillId="0" borderId="39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3" fontId="10" fillId="0" borderId="0" xfId="0" applyNumberFormat="1" applyFont="1"/>
    <xf numFmtId="49" fontId="10" fillId="0" borderId="2" xfId="0" applyNumberFormat="1" applyFont="1" applyBorder="1" applyAlignment="1">
      <alignment horizontal="center"/>
    </xf>
    <xf numFmtId="175" fontId="10" fillId="0" borderId="11" xfId="1" applyFont="1" applyBorder="1"/>
    <xf numFmtId="0" fontId="6" fillId="0" borderId="6" xfId="0" applyFont="1" applyBorder="1" applyAlignment="1">
      <alignment horizontal="left"/>
    </xf>
    <xf numFmtId="175" fontId="12" fillId="0" borderId="1" xfId="1" applyFont="1" applyFill="1" applyBorder="1"/>
    <xf numFmtId="0" fontId="5" fillId="0" borderId="2" xfId="0" applyFont="1" applyBorder="1"/>
    <xf numFmtId="0" fontId="5" fillId="0" borderId="7" xfId="0" applyFont="1" applyBorder="1"/>
    <xf numFmtId="175" fontId="5" fillId="0" borderId="16" xfId="1" applyFont="1" applyBorder="1"/>
    <xf numFmtId="175" fontId="2" fillId="0" borderId="0" xfId="0" applyNumberFormat="1" applyFont="1"/>
    <xf numFmtId="175" fontId="10" fillId="0" borderId="8" xfId="1" applyFont="1" applyBorder="1"/>
    <xf numFmtId="175" fontId="6" fillId="0" borderId="6" xfId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3" fontId="10" fillId="0" borderId="8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10" fillId="0" borderId="2" xfId="0" applyFont="1" applyBorder="1"/>
    <xf numFmtId="0" fontId="10" fillId="0" borderId="40" xfId="0" applyFont="1" applyBorder="1"/>
    <xf numFmtId="0" fontId="5" fillId="0" borderId="0" xfId="0" applyFont="1" applyBorder="1"/>
    <xf numFmtId="175" fontId="5" fillId="0" borderId="0" xfId="1" applyFont="1" applyBorder="1"/>
    <xf numFmtId="0" fontId="10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175" fontId="10" fillId="0" borderId="32" xfId="0" applyNumberFormat="1" applyFont="1" applyFill="1" applyBorder="1"/>
    <xf numFmtId="175" fontId="10" fillId="0" borderId="26" xfId="1" applyFont="1" applyFill="1" applyBorder="1"/>
    <xf numFmtId="175" fontId="10" fillId="0" borderId="24" xfId="1" applyFont="1" applyFill="1" applyBorder="1"/>
    <xf numFmtId="175" fontId="6" fillId="0" borderId="31" xfId="1" applyFont="1" applyFill="1" applyBorder="1"/>
    <xf numFmtId="175" fontId="10" fillId="0" borderId="24" xfId="0" applyNumberFormat="1" applyFont="1" applyFill="1" applyBorder="1"/>
    <xf numFmtId="0" fontId="10" fillId="0" borderId="24" xfId="0" applyFont="1" applyFill="1" applyBorder="1"/>
    <xf numFmtId="0" fontId="10" fillId="0" borderId="23" xfId="0" applyFont="1" applyFill="1" applyBorder="1"/>
    <xf numFmtId="185" fontId="6" fillId="0" borderId="19" xfId="1" applyNumberFormat="1" applyFont="1" applyFill="1" applyBorder="1"/>
    <xf numFmtId="185" fontId="6" fillId="0" borderId="1" xfId="1" applyNumberFormat="1" applyFont="1" applyFill="1" applyBorder="1"/>
    <xf numFmtId="185" fontId="6" fillId="0" borderId="18" xfId="1" applyNumberFormat="1" applyFont="1" applyFill="1" applyBorder="1"/>
    <xf numFmtId="175" fontId="11" fillId="0" borderId="19" xfId="1" applyNumberFormat="1" applyFont="1" applyFill="1" applyBorder="1"/>
    <xf numFmtId="175" fontId="11" fillId="0" borderId="7" xfId="1" applyNumberFormat="1" applyFont="1" applyFill="1" applyBorder="1"/>
    <xf numFmtId="175" fontId="11" fillId="0" borderId="18" xfId="1" applyFont="1" applyFill="1" applyBorder="1"/>
    <xf numFmtId="175" fontId="12" fillId="0" borderId="19" xfId="1" applyFont="1" applyFill="1" applyBorder="1"/>
    <xf numFmtId="175" fontId="12" fillId="0" borderId="7" xfId="1" applyNumberFormat="1" applyFont="1" applyFill="1" applyBorder="1"/>
    <xf numFmtId="175" fontId="12" fillId="0" borderId="18" xfId="1" applyFont="1" applyFill="1" applyBorder="1"/>
    <xf numFmtId="175" fontId="12" fillId="0" borderId="6" xfId="1" applyFont="1" applyFill="1" applyBorder="1"/>
    <xf numFmtId="175" fontId="12" fillId="0" borderId="6" xfId="1" applyNumberFormat="1" applyFont="1" applyFill="1" applyBorder="1"/>
    <xf numFmtId="175" fontId="12" fillId="0" borderId="31" xfId="1" applyFont="1" applyFill="1" applyBorder="1"/>
    <xf numFmtId="175" fontId="10" fillId="0" borderId="18" xfId="1" applyFont="1" applyFill="1" applyBorder="1"/>
    <xf numFmtId="175" fontId="5" fillId="0" borderId="0" xfId="0" applyNumberFormat="1" applyFont="1" applyAlignment="1">
      <alignment horizontal="center"/>
    </xf>
    <xf numFmtId="0" fontId="31" fillId="0" borderId="0" xfId="0" applyFont="1"/>
    <xf numFmtId="0" fontId="31" fillId="0" borderId="0" xfId="0" applyFont="1" applyFill="1"/>
    <xf numFmtId="0" fontId="31" fillId="0" borderId="0" xfId="0" applyFont="1" applyAlignment="1">
      <alignment horizontal="left"/>
    </xf>
    <xf numFmtId="0" fontId="31" fillId="0" borderId="38" xfId="0" applyFont="1" applyBorder="1"/>
    <xf numFmtId="0" fontId="31" fillId="0" borderId="38" xfId="0" applyNumberFormat="1" applyFont="1" applyBorder="1"/>
    <xf numFmtId="0" fontId="32" fillId="0" borderId="0" xfId="0" applyFont="1"/>
    <xf numFmtId="0" fontId="32" fillId="0" borderId="0" xfId="0" applyFont="1" applyFill="1"/>
    <xf numFmtId="0" fontId="33" fillId="0" borderId="0" xfId="0" applyFont="1"/>
    <xf numFmtId="0" fontId="10" fillId="0" borderId="0" xfId="0" applyFont="1" applyAlignment="1">
      <alignment horizontal="left"/>
    </xf>
    <xf numFmtId="0" fontId="10" fillId="0" borderId="38" xfId="0" applyNumberFormat="1" applyFont="1" applyBorder="1"/>
    <xf numFmtId="0" fontId="2" fillId="0" borderId="38" xfId="0" applyFont="1" applyBorder="1"/>
    <xf numFmtId="4" fontId="17" fillId="0" borderId="1" xfId="0" applyNumberFormat="1" applyFont="1" applyFill="1" applyBorder="1" applyAlignment="1">
      <alignment horizontal="right" wrapText="1"/>
    </xf>
    <xf numFmtId="39" fontId="5" fillId="0" borderId="0" xfId="0" applyNumberFormat="1" applyFont="1"/>
    <xf numFmtId="175" fontId="17" fillId="0" borderId="3" xfId="1" applyFont="1" applyFill="1" applyBorder="1" applyAlignment="1">
      <alignment horizontal="right" wrapText="1"/>
    </xf>
    <xf numFmtId="175" fontId="10" fillId="0" borderId="41" xfId="0" applyNumberFormat="1" applyFont="1" applyBorder="1"/>
    <xf numFmtId="175" fontId="10" fillId="0" borderId="42" xfId="0" applyNumberFormat="1" applyFont="1" applyBorder="1"/>
    <xf numFmtId="0" fontId="10" fillId="0" borderId="15" xfId="0" applyFont="1" applyBorder="1" applyAlignment="1">
      <alignment horizontal="center"/>
    </xf>
    <xf numFmtId="175" fontId="10" fillId="0" borderId="43" xfId="0" applyNumberFormat="1" applyFont="1" applyBorder="1"/>
    <xf numFmtId="175" fontId="10" fillId="0" borderId="3" xfId="1" applyFont="1" applyFill="1" applyBorder="1"/>
    <xf numFmtId="175" fontId="10" fillId="0" borderId="1" xfId="1" applyFont="1" applyFill="1" applyBorder="1"/>
    <xf numFmtId="175" fontId="17" fillId="0" borderId="1" xfId="1" applyFont="1" applyFill="1" applyBorder="1" applyAlignment="1">
      <alignment horizontal="right" wrapText="1"/>
    </xf>
    <xf numFmtId="175" fontId="17" fillId="0" borderId="1" xfId="1" applyFont="1" applyBorder="1"/>
    <xf numFmtId="0" fontId="4" fillId="6" borderId="1" xfId="0" applyFont="1" applyFill="1" applyBorder="1" applyAlignment="1">
      <alignment horizontal="center"/>
    </xf>
    <xf numFmtId="175" fontId="34" fillId="0" borderId="1" xfId="1" applyFont="1" applyBorder="1"/>
    <xf numFmtId="4" fontId="18" fillId="0" borderId="0" xfId="0" applyNumberFormat="1" applyFont="1" applyFill="1" applyBorder="1"/>
    <xf numFmtId="175" fontId="17" fillId="0" borderId="3" xfId="1" applyFont="1" applyBorder="1"/>
    <xf numFmtId="4" fontId="18" fillId="7" borderId="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/>
    </xf>
    <xf numFmtId="175" fontId="6" fillId="0" borderId="6" xfId="1" applyFont="1" applyFill="1" applyBorder="1"/>
    <xf numFmtId="175" fontId="2" fillId="0" borderId="0" xfId="0" applyNumberFormat="1" applyFont="1" applyFill="1"/>
    <xf numFmtId="0" fontId="10" fillId="0" borderId="38" xfId="0" applyFont="1" applyFill="1" applyBorder="1"/>
    <xf numFmtId="0" fontId="2" fillId="0" borderId="38" xfId="0" applyFont="1" applyFill="1" applyBorder="1"/>
    <xf numFmtId="175" fontId="11" fillId="0" borderId="1" xfId="1" applyFont="1" applyFill="1" applyBorder="1"/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/>
    <xf numFmtId="175" fontId="2" fillId="0" borderId="0" xfId="1" applyFont="1" applyFill="1"/>
    <xf numFmtId="43" fontId="2" fillId="0" borderId="0" xfId="0" applyNumberFormat="1" applyFont="1" applyFill="1"/>
    <xf numFmtId="175" fontId="10" fillId="0" borderId="19" xfId="1" applyFont="1" applyFill="1" applyBorder="1"/>
    <xf numFmtId="175" fontId="6" fillId="0" borderId="18" xfId="1" applyFont="1" applyFill="1" applyBorder="1"/>
    <xf numFmtId="175" fontId="6" fillId="0" borderId="30" xfId="1" applyFont="1" applyFill="1" applyBorder="1"/>
    <xf numFmtId="175" fontId="10" fillId="0" borderId="0" xfId="1" applyFont="1" applyFill="1"/>
    <xf numFmtId="175" fontId="6" fillId="0" borderId="0" xfId="0" applyNumberFormat="1" applyFont="1" applyBorder="1"/>
    <xf numFmtId="0" fontId="34" fillId="0" borderId="38" xfId="0" applyFont="1" applyBorder="1"/>
    <xf numFmtId="175" fontId="11" fillId="0" borderId="3" xfId="1" applyFont="1" applyFill="1" applyBorder="1"/>
    <xf numFmtId="0" fontId="5" fillId="0" borderId="0" xfId="0" applyFont="1" applyFill="1"/>
    <xf numFmtId="0" fontId="35" fillId="0" borderId="0" xfId="0" applyFont="1" applyFill="1"/>
    <xf numFmtId="0" fontId="6" fillId="2" borderId="4" xfId="0" applyFont="1" applyFill="1" applyBorder="1" applyAlignment="1" applyProtection="1">
      <alignment horizontal="center" vertical="top"/>
      <protection locked="0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175" fontId="36" fillId="0" borderId="0" xfId="1" applyFont="1"/>
    <xf numFmtId="4" fontId="17" fillId="0" borderId="3" xfId="0" applyNumberFormat="1" applyFont="1" applyFill="1" applyBorder="1" applyAlignment="1">
      <alignment horizontal="right" wrapText="1"/>
    </xf>
    <xf numFmtId="175" fontId="31" fillId="0" borderId="0" xfId="1" applyFont="1"/>
    <xf numFmtId="175" fontId="10" fillId="0" borderId="12" xfId="1" applyFont="1" applyBorder="1"/>
    <xf numFmtId="0" fontId="34" fillId="0" borderId="4" xfId="0" applyFont="1" applyFill="1" applyBorder="1" applyAlignment="1">
      <alignment horizontal="center"/>
    </xf>
    <xf numFmtId="0" fontId="33" fillId="0" borderId="0" xfId="0" applyFont="1" applyFill="1"/>
    <xf numFmtId="0" fontId="33" fillId="0" borderId="0" xfId="0" quotePrefix="1" applyFont="1" applyAlignment="1">
      <alignment horizontal="center"/>
    </xf>
    <xf numFmtId="0" fontId="33" fillId="0" borderId="0" xfId="0" quotePrefix="1" applyFont="1" applyAlignment="1">
      <alignment horizontal="left"/>
    </xf>
    <xf numFmtId="175" fontId="11" fillId="0" borderId="7" xfId="1" applyFont="1" applyFill="1" applyBorder="1"/>
    <xf numFmtId="175" fontId="10" fillId="0" borderId="10" xfId="1" applyFont="1" applyBorder="1"/>
    <xf numFmtId="0" fontId="6" fillId="0" borderId="1" xfId="0" applyFont="1" applyFill="1" applyBorder="1" applyAlignment="1">
      <alignment horizontal="center"/>
    </xf>
    <xf numFmtId="175" fontId="10" fillId="0" borderId="0" xfId="4" applyFont="1"/>
    <xf numFmtId="175" fontId="10" fillId="0" borderId="4" xfId="4" applyFont="1" applyBorder="1"/>
    <xf numFmtId="3" fontId="10" fillId="0" borderId="13" xfId="4" applyNumberFormat="1" applyFont="1" applyFill="1" applyBorder="1" applyAlignment="1">
      <alignment horizontal="center"/>
    </xf>
    <xf numFmtId="175" fontId="6" fillId="0" borderId="4" xfId="4" applyFont="1" applyBorder="1"/>
    <xf numFmtId="175" fontId="10" fillId="0" borderId="3" xfId="4" applyFont="1" applyBorder="1"/>
    <xf numFmtId="3" fontId="10" fillId="0" borderId="12" xfId="4" applyNumberFormat="1" applyFont="1" applyFill="1" applyBorder="1" applyAlignment="1">
      <alignment horizontal="center"/>
    </xf>
    <xf numFmtId="175" fontId="6" fillId="0" borderId="3" xfId="4" applyFont="1" applyFill="1" applyBorder="1"/>
    <xf numFmtId="175" fontId="19" fillId="0" borderId="3" xfId="4" applyFont="1" applyFill="1" applyBorder="1" applyAlignment="1">
      <alignment horizontal="right" wrapText="1"/>
    </xf>
    <xf numFmtId="175" fontId="10" fillId="0" borderId="5" xfId="4" applyFont="1" applyBorder="1"/>
    <xf numFmtId="3" fontId="10" fillId="0" borderId="11" xfId="4" applyNumberFormat="1" applyFont="1" applyFill="1" applyBorder="1" applyAlignment="1">
      <alignment horizontal="center"/>
    </xf>
    <xf numFmtId="175" fontId="6" fillId="0" borderId="5" xfId="4" applyFont="1" applyFill="1" applyBorder="1"/>
    <xf numFmtId="175" fontId="10" fillId="0" borderId="5" xfId="4" applyFont="1" applyFill="1" applyBorder="1"/>
    <xf numFmtId="175" fontId="6" fillId="0" borderId="4" xfId="4" applyFont="1" applyFill="1" applyBorder="1"/>
    <xf numFmtId="175" fontId="10" fillId="0" borderId="1" xfId="4" applyFont="1" applyBorder="1"/>
    <xf numFmtId="175" fontId="6" fillId="0" borderId="1" xfId="4" applyFont="1" applyFill="1" applyBorder="1"/>
    <xf numFmtId="3" fontId="10" fillId="0" borderId="1" xfId="4" applyNumberFormat="1" applyFont="1" applyFill="1" applyBorder="1" applyAlignment="1">
      <alignment horizontal="center"/>
    </xf>
    <xf numFmtId="183" fontId="10" fillId="0" borderId="5" xfId="4" applyNumberFormat="1" applyFont="1" applyFill="1" applyBorder="1"/>
    <xf numFmtId="3" fontId="34" fillId="0" borderId="1" xfId="4" applyNumberFormat="1" applyFont="1" applyFill="1" applyBorder="1" applyAlignment="1">
      <alignment horizontal="center"/>
    </xf>
    <xf numFmtId="175" fontId="10" fillId="0" borderId="1" xfId="4" applyFont="1" applyFill="1" applyBorder="1"/>
    <xf numFmtId="185" fontId="10" fillId="0" borderId="1" xfId="4" applyNumberFormat="1" applyFont="1" applyBorder="1"/>
    <xf numFmtId="185" fontId="10" fillId="0" borderId="1" xfId="4" applyNumberFormat="1" applyFont="1" applyBorder="1" applyAlignment="1">
      <alignment horizontal="center"/>
    </xf>
    <xf numFmtId="175" fontId="6" fillId="0" borderId="1" xfId="4" applyFont="1" applyBorder="1"/>
    <xf numFmtId="175" fontId="10" fillId="0" borderId="0" xfId="4" applyFont="1" applyBorder="1"/>
    <xf numFmtId="175" fontId="12" fillId="0" borderId="0" xfId="4" applyFont="1" applyBorder="1"/>
    <xf numFmtId="175" fontId="11" fillId="0" borderId="0" xfId="4" applyFont="1" applyBorder="1"/>
    <xf numFmtId="1" fontId="10" fillId="0" borderId="0" xfId="4" applyNumberFormat="1" applyFont="1" applyFill="1" applyBorder="1" applyAlignment="1">
      <alignment horizontal="center"/>
    </xf>
    <xf numFmtId="175" fontId="6" fillId="0" borderId="0" xfId="4" applyFont="1" applyFill="1" applyBorder="1"/>
    <xf numFmtId="175" fontId="10" fillId="0" borderId="0" xfId="4" applyFont="1" applyFill="1" applyBorder="1"/>
    <xf numFmtId="1" fontId="10" fillId="0" borderId="4" xfId="4" applyNumberFormat="1" applyFont="1" applyBorder="1" applyAlignment="1">
      <alignment horizontal="center"/>
    </xf>
    <xf numFmtId="1" fontId="10" fillId="0" borderId="3" xfId="4" applyNumberFormat="1" applyFont="1" applyFill="1" applyBorder="1" applyAlignment="1">
      <alignment horizontal="center"/>
    </xf>
    <xf numFmtId="185" fontId="10" fillId="0" borderId="5" xfId="4" applyNumberFormat="1" applyFont="1" applyBorder="1"/>
    <xf numFmtId="1" fontId="10" fillId="0" borderId="5" xfId="4" applyNumberFormat="1" applyFont="1" applyBorder="1" applyAlignment="1">
      <alignment horizontal="center"/>
    </xf>
    <xf numFmtId="185" fontId="10" fillId="0" borderId="4" xfId="4" applyNumberFormat="1" applyFont="1" applyBorder="1"/>
    <xf numFmtId="1" fontId="10" fillId="0" borderId="3" xfId="4" applyNumberFormat="1" applyFont="1" applyBorder="1" applyAlignment="1">
      <alignment horizontal="center"/>
    </xf>
    <xf numFmtId="1" fontId="10" fillId="0" borderId="13" xfId="4" applyNumberFormat="1" applyFont="1" applyBorder="1" applyAlignment="1">
      <alignment horizontal="center"/>
    </xf>
    <xf numFmtId="1" fontId="10" fillId="0" borderId="12" xfId="4" applyNumberFormat="1" applyFont="1" applyBorder="1" applyAlignment="1">
      <alignment horizontal="center"/>
    </xf>
    <xf numFmtId="175" fontId="10" fillId="0" borderId="3" xfId="4" applyFont="1" applyFill="1" applyBorder="1"/>
    <xf numFmtId="1" fontId="10" fillId="0" borderId="4" xfId="4" applyNumberFormat="1" applyFont="1" applyFill="1" applyBorder="1" applyAlignment="1">
      <alignment horizontal="center"/>
    </xf>
    <xf numFmtId="175" fontId="10" fillId="0" borderId="4" xfId="4" applyFont="1" applyFill="1" applyBorder="1"/>
    <xf numFmtId="185" fontId="6" fillId="0" borderId="5" xfId="4" applyNumberFormat="1" applyFont="1" applyBorder="1"/>
    <xf numFmtId="175" fontId="10" fillId="0" borderId="44" xfId="4" applyFont="1" applyFill="1" applyBorder="1"/>
    <xf numFmtId="175" fontId="10" fillId="0" borderId="42" xfId="4" applyFont="1" applyFill="1" applyBorder="1"/>
    <xf numFmtId="175" fontId="10" fillId="0" borderId="44" xfId="4" applyFont="1" applyBorder="1"/>
    <xf numFmtId="175" fontId="10" fillId="0" borderId="42" xfId="4" applyFont="1" applyBorder="1"/>
    <xf numFmtId="1" fontId="10" fillId="0" borderId="42" xfId="4" applyNumberFormat="1" applyFont="1" applyFill="1" applyBorder="1" applyAlignment="1">
      <alignment horizontal="center"/>
    </xf>
    <xf numFmtId="3" fontId="10" fillId="0" borderId="42" xfId="4" applyNumberFormat="1" applyFont="1" applyFill="1" applyBorder="1" applyAlignment="1">
      <alignment horizontal="center"/>
    </xf>
    <xf numFmtId="3" fontId="34" fillId="0" borderId="42" xfId="4" applyNumberFormat="1" applyFont="1" applyFill="1" applyBorder="1" applyAlignment="1">
      <alignment horizontal="center"/>
    </xf>
    <xf numFmtId="175" fontId="19" fillId="0" borderId="44" xfId="4" applyFont="1" applyFill="1" applyBorder="1" applyAlignment="1">
      <alignment horizontal="right" wrapText="1"/>
    </xf>
    <xf numFmtId="175" fontId="19" fillId="0" borderId="42" xfId="4" applyFont="1" applyFill="1" applyBorder="1" applyAlignment="1">
      <alignment horizontal="right" wrapText="1"/>
    </xf>
    <xf numFmtId="0" fontId="10" fillId="0" borderId="0" xfId="0" applyFont="1" applyFill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2" fontId="10" fillId="0" borderId="0" xfId="0" applyNumberFormat="1" applyFont="1"/>
    <xf numFmtId="0" fontId="5" fillId="8" borderId="0" xfId="0" applyFont="1" applyFill="1"/>
    <xf numFmtId="2" fontId="5" fillId="0" borderId="0" xfId="0" applyNumberFormat="1" applyFont="1" applyAlignment="1">
      <alignment horizontal="center"/>
    </xf>
    <xf numFmtId="10" fontId="5" fillId="0" borderId="0" xfId="33" applyNumberFormat="1" applyFont="1"/>
    <xf numFmtId="49" fontId="3" fillId="0" borderId="0" xfId="14" applyNumberFormat="1" applyFont="1" applyAlignment="1">
      <alignment horizontal="left"/>
    </xf>
    <xf numFmtId="0" fontId="10" fillId="0" borderId="0" xfId="14" applyFont="1"/>
    <xf numFmtId="0" fontId="6" fillId="0" borderId="0" xfId="14" applyFont="1"/>
    <xf numFmtId="0" fontId="10" fillId="0" borderId="0" xfId="14" applyFont="1" applyBorder="1"/>
    <xf numFmtId="49" fontId="10" fillId="0" borderId="0" xfId="14" applyNumberFormat="1" applyFont="1" applyAlignment="1">
      <alignment horizontal="left"/>
    </xf>
    <xf numFmtId="0" fontId="3" fillId="0" borderId="0" xfId="14" applyFont="1"/>
    <xf numFmtId="0" fontId="10" fillId="0" borderId="0" xfId="14" applyFont="1" applyFill="1"/>
    <xf numFmtId="0" fontId="6" fillId="2" borderId="1" xfId="14" applyFont="1" applyFill="1" applyBorder="1" applyAlignment="1">
      <alignment horizontal="center"/>
    </xf>
    <xf numFmtId="0" fontId="6" fillId="0" borderId="0" xfId="14" applyFont="1" applyBorder="1" applyAlignment="1">
      <alignment horizontal="center"/>
    </xf>
    <xf numFmtId="0" fontId="6" fillId="0" borderId="1" xfId="14" applyFont="1" applyBorder="1" applyAlignment="1">
      <alignment horizontal="center"/>
    </xf>
    <xf numFmtId="49" fontId="13" fillId="4" borderId="1" xfId="14" applyNumberFormat="1" applyFont="1" applyFill="1" applyBorder="1" applyAlignment="1">
      <alignment horizontal="left"/>
    </xf>
    <xf numFmtId="0" fontId="10" fillId="4" borderId="0" xfId="14" applyFont="1" applyFill="1"/>
    <xf numFmtId="0" fontId="10" fillId="0" borderId="12" xfId="14" applyFont="1" applyBorder="1" applyAlignment="1">
      <alignment horizontal="center"/>
    </xf>
    <xf numFmtId="0" fontId="10" fillId="0" borderId="8" xfId="14" applyFont="1" applyBorder="1"/>
    <xf numFmtId="0" fontId="10" fillId="0" borderId="13" xfId="14" applyFont="1" applyBorder="1" applyAlignment="1">
      <alignment horizontal="center"/>
    </xf>
    <xf numFmtId="0" fontId="10" fillId="0" borderId="10" xfId="14" applyFont="1" applyBorder="1"/>
    <xf numFmtId="0" fontId="10" fillId="0" borderId="10" xfId="14" applyFont="1" applyFill="1" applyBorder="1"/>
    <xf numFmtId="0" fontId="10" fillId="0" borderId="8" xfId="14" applyFont="1" applyFill="1" applyBorder="1"/>
    <xf numFmtId="0" fontId="10" fillId="0" borderId="11" xfId="14" applyFont="1" applyBorder="1" applyAlignment="1">
      <alignment horizontal="center"/>
    </xf>
    <xf numFmtId="0" fontId="10" fillId="0" borderId="9" xfId="14" applyFont="1" applyFill="1" applyBorder="1"/>
    <xf numFmtId="0" fontId="10" fillId="0" borderId="9" xfId="14" applyFont="1" applyBorder="1"/>
    <xf numFmtId="0" fontId="10" fillId="0" borderId="3" xfId="14" applyFont="1" applyBorder="1"/>
    <xf numFmtId="0" fontId="10" fillId="0" borderId="4" xfId="14" applyFont="1" applyBorder="1"/>
    <xf numFmtId="0" fontId="10" fillId="0" borderId="5" xfId="14" applyFont="1" applyBorder="1"/>
    <xf numFmtId="49" fontId="10" fillId="0" borderId="12" xfId="14" applyNumberFormat="1" applyFont="1" applyBorder="1" applyAlignment="1">
      <alignment horizontal="center"/>
    </xf>
    <xf numFmtId="49" fontId="10" fillId="0" borderId="0" xfId="14" applyNumberFormat="1" applyFont="1" applyBorder="1" applyAlignment="1">
      <alignment horizontal="center"/>
    </xf>
    <xf numFmtId="1" fontId="10" fillId="0" borderId="0" xfId="14" applyNumberFormat="1" applyFont="1" applyBorder="1"/>
    <xf numFmtId="49" fontId="3" fillId="0" borderId="0" xfId="14" applyNumberFormat="1" applyFont="1"/>
    <xf numFmtId="49" fontId="10" fillId="0" borderId="0" xfId="14" applyNumberFormat="1" applyFont="1" applyAlignment="1">
      <alignment horizontal="center"/>
    </xf>
    <xf numFmtId="0" fontId="6" fillId="0" borderId="5" xfId="14" applyFont="1" applyBorder="1" applyAlignment="1">
      <alignment horizontal="center"/>
    </xf>
    <xf numFmtId="49" fontId="13" fillId="3" borderId="1" xfId="14" applyNumberFormat="1" applyFont="1" applyFill="1" applyBorder="1" applyAlignment="1">
      <alignment horizontal="left"/>
    </xf>
    <xf numFmtId="0" fontId="10" fillId="3" borderId="0" xfId="14" applyFont="1" applyFill="1"/>
    <xf numFmtId="0" fontId="10" fillId="0" borderId="2" xfId="14" quotePrefix="1" applyFont="1" applyFill="1" applyBorder="1" applyAlignment="1">
      <alignment horizontal="center"/>
    </xf>
    <xf numFmtId="0" fontId="10" fillId="0" borderId="7" xfId="14" applyFont="1" applyFill="1" applyBorder="1"/>
    <xf numFmtId="0" fontId="10" fillId="0" borderId="1" xfId="14" applyFont="1" applyFill="1" applyBorder="1"/>
    <xf numFmtId="0" fontId="10" fillId="0" borderId="0" xfId="14" applyFont="1" applyFill="1" applyBorder="1"/>
    <xf numFmtId="0" fontId="20" fillId="0" borderId="1" xfId="14" applyFont="1" applyFill="1" applyBorder="1"/>
    <xf numFmtId="3" fontId="10" fillId="0" borderId="1" xfId="14" applyNumberFormat="1" applyFont="1" applyFill="1" applyBorder="1" applyAlignment="1">
      <alignment horizontal="center"/>
    </xf>
    <xf numFmtId="3" fontId="10" fillId="0" borderId="3" xfId="14" applyNumberFormat="1" applyFont="1" applyFill="1" applyBorder="1" applyAlignment="1">
      <alignment horizontal="center"/>
    </xf>
    <xf numFmtId="3" fontId="10" fillId="0" borderId="5" xfId="14" applyNumberFormat="1" applyFont="1" applyFill="1" applyBorder="1" applyAlignment="1">
      <alignment horizontal="center"/>
    </xf>
    <xf numFmtId="3" fontId="10" fillId="0" borderId="4" xfId="14" applyNumberFormat="1" applyFont="1" applyFill="1" applyBorder="1" applyAlignment="1">
      <alignment horizontal="center"/>
    </xf>
    <xf numFmtId="0" fontId="10" fillId="0" borderId="6" xfId="14" applyFont="1" applyBorder="1"/>
    <xf numFmtId="175" fontId="6" fillId="0" borderId="0" xfId="14" applyNumberFormat="1" applyFont="1"/>
    <xf numFmtId="43" fontId="10" fillId="0" borderId="0" xfId="14" applyNumberFormat="1" applyFont="1"/>
    <xf numFmtId="4" fontId="14" fillId="0" borderId="0" xfId="14" applyNumberFormat="1" applyFont="1" applyFill="1" applyAlignment="1">
      <alignment horizontal="right"/>
    </xf>
    <xf numFmtId="0" fontId="3" fillId="0" borderId="0" xfId="14" applyFont="1" applyAlignment="1">
      <alignment horizontal="left"/>
    </xf>
    <xf numFmtId="3" fontId="10" fillId="0" borderId="0" xfId="14" applyNumberFormat="1" applyFont="1" applyAlignment="1">
      <alignment horizontal="center"/>
    </xf>
    <xf numFmtId="0" fontId="10" fillId="0" borderId="0" xfId="14" applyFont="1" applyFill="1" applyAlignment="1">
      <alignment horizontal="center"/>
    </xf>
    <xf numFmtId="175" fontId="34" fillId="0" borderId="0" xfId="4" applyFont="1" applyFill="1"/>
    <xf numFmtId="0" fontId="10" fillId="0" borderId="0" xfId="14" applyFont="1" applyAlignment="1">
      <alignment horizontal="center"/>
    </xf>
    <xf numFmtId="175" fontId="37" fillId="0" borderId="0" xfId="4" applyFont="1" applyFill="1" applyAlignment="1">
      <alignment horizontal="right"/>
    </xf>
    <xf numFmtId="0" fontId="6" fillId="0" borderId="1" xfId="14" applyFont="1" applyBorder="1" applyAlignment="1">
      <alignment horizontal="center" vertical="center" wrapText="1"/>
    </xf>
    <xf numFmtId="3" fontId="6" fillId="0" borderId="1" xfId="14" applyNumberFormat="1" applyFont="1" applyBorder="1" applyAlignment="1">
      <alignment horizontal="center" vertical="center" wrapText="1"/>
    </xf>
    <xf numFmtId="0" fontId="6" fillId="0" borderId="18" xfId="14" applyFont="1" applyBorder="1" applyAlignment="1">
      <alignment horizontal="center" vertical="center" wrapText="1"/>
    </xf>
    <xf numFmtId="0" fontId="6" fillId="0" borderId="7" xfId="14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175" fontId="37" fillId="0" borderId="1" xfId="4" applyFont="1" applyFill="1" applyBorder="1" applyAlignment="1">
      <alignment horizontal="center" vertical="center" wrapText="1"/>
    </xf>
    <xf numFmtId="0" fontId="6" fillId="0" borderId="0" xfId="14" applyFont="1" applyAlignment="1">
      <alignment horizontal="center"/>
    </xf>
    <xf numFmtId="175" fontId="6" fillId="2" borderId="17" xfId="4" applyFont="1" applyFill="1" applyBorder="1" applyAlignment="1"/>
    <xf numFmtId="3" fontId="10" fillId="0" borderId="4" xfId="14" applyNumberFormat="1" applyFont="1" applyBorder="1" applyAlignment="1">
      <alignment horizontal="center"/>
    </xf>
    <xf numFmtId="0" fontId="10" fillId="0" borderId="24" xfId="14" applyFont="1" applyBorder="1"/>
    <xf numFmtId="175" fontId="10" fillId="0" borderId="10" xfId="4" applyFont="1" applyFill="1" applyBorder="1"/>
    <xf numFmtId="0" fontId="10" fillId="0" borderId="4" xfId="14" applyFont="1" applyFill="1" applyBorder="1" applyAlignment="1">
      <alignment horizontal="center"/>
    </xf>
    <xf numFmtId="175" fontId="34" fillId="0" borderId="4" xfId="4" applyFont="1" applyFill="1" applyBorder="1"/>
    <xf numFmtId="0" fontId="10" fillId="0" borderId="45" xfId="14" applyFont="1" applyBorder="1" applyAlignment="1">
      <alignment horizontal="left"/>
    </xf>
    <xf numFmtId="3" fontId="10" fillId="0" borderId="42" xfId="14" applyNumberFormat="1" applyFont="1" applyBorder="1" applyAlignment="1">
      <alignment horizontal="center"/>
    </xf>
    <xf numFmtId="0" fontId="10" fillId="0" borderId="42" xfId="14" applyFont="1" applyBorder="1"/>
    <xf numFmtId="175" fontId="10" fillId="0" borderId="46" xfId="4" applyFont="1" applyBorder="1"/>
    <xf numFmtId="3" fontId="10" fillId="0" borderId="42" xfId="14" applyNumberFormat="1" applyFont="1" applyFill="1" applyBorder="1" applyAlignment="1">
      <alignment horizontal="center"/>
    </xf>
    <xf numFmtId="175" fontId="34" fillId="0" borderId="42" xfId="4" applyFont="1" applyFill="1" applyBorder="1"/>
    <xf numFmtId="0" fontId="10" fillId="0" borderId="47" xfId="14" applyFont="1" applyBorder="1" applyAlignment="1">
      <alignment horizontal="center"/>
    </xf>
    <xf numFmtId="0" fontId="10" fillId="0" borderId="48" xfId="14" applyFont="1" applyFill="1" applyBorder="1" applyAlignment="1">
      <alignment horizontal="center"/>
    </xf>
    <xf numFmtId="0" fontId="10" fillId="0" borderId="42" xfId="14" applyFont="1" applyFill="1" applyBorder="1"/>
    <xf numFmtId="175" fontId="10" fillId="0" borderId="46" xfId="4" applyFont="1" applyFill="1" applyBorder="1"/>
    <xf numFmtId="1" fontId="10" fillId="0" borderId="42" xfId="14" applyNumberFormat="1" applyFont="1" applyFill="1" applyBorder="1" applyAlignment="1">
      <alignment horizontal="center"/>
    </xf>
    <xf numFmtId="0" fontId="10" fillId="0" borderId="42" xfId="14" applyFont="1" applyFill="1" applyBorder="1" applyAlignment="1">
      <alignment horizontal="center"/>
    </xf>
    <xf numFmtId="49" fontId="10" fillId="0" borderId="47" xfId="14" applyNumberFormat="1" applyFont="1" applyBorder="1" applyAlignment="1">
      <alignment horizontal="center"/>
    </xf>
    <xf numFmtId="0" fontId="6" fillId="4" borderId="45" xfId="14" applyFont="1" applyFill="1" applyBorder="1"/>
    <xf numFmtId="183" fontId="10" fillId="0" borderId="46" xfId="4" applyNumberFormat="1" applyFont="1" applyBorder="1"/>
    <xf numFmtId="0" fontId="20" fillId="0" borderId="42" xfId="14" applyFont="1" applyFill="1" applyBorder="1"/>
    <xf numFmtId="183" fontId="10" fillId="0" borderId="42" xfId="4" applyNumberFormat="1" applyFont="1" applyBorder="1"/>
    <xf numFmtId="0" fontId="11" fillId="0" borderId="42" xfId="14" applyFont="1" applyBorder="1"/>
    <xf numFmtId="49" fontId="10" fillId="0" borderId="49" xfId="14" applyNumberFormat="1" applyFont="1" applyBorder="1" applyAlignment="1">
      <alignment horizontal="center"/>
    </xf>
    <xf numFmtId="49" fontId="10" fillId="0" borderId="50" xfId="14" applyNumberFormat="1" applyFont="1" applyBorder="1" applyAlignment="1">
      <alignment horizontal="center"/>
    </xf>
    <xf numFmtId="0" fontId="10" fillId="0" borderId="46" xfId="14" applyFont="1" applyBorder="1"/>
    <xf numFmtId="0" fontId="2" fillId="0" borderId="0" xfId="14" applyFont="1" applyAlignment="1">
      <alignment horizontal="center"/>
    </xf>
    <xf numFmtId="0" fontId="2" fillId="0" borderId="0" xfId="14" applyFont="1"/>
    <xf numFmtId="175" fontId="2" fillId="0" borderId="0" xfId="4" applyFont="1"/>
    <xf numFmtId="3" fontId="2" fillId="0" borderId="0" xfId="14" applyNumberFormat="1" applyFont="1" applyAlignment="1">
      <alignment horizontal="center"/>
    </xf>
    <xf numFmtId="175" fontId="2" fillId="0" borderId="0" xfId="14" applyNumberFormat="1" applyFont="1" applyFill="1"/>
    <xf numFmtId="0" fontId="2" fillId="0" borderId="0" xfId="14" applyFont="1" applyFill="1" applyAlignment="1">
      <alignment horizontal="center"/>
    </xf>
    <xf numFmtId="175" fontId="38" fillId="0" borderId="0" xfId="4" applyFont="1" applyFill="1"/>
    <xf numFmtId="0" fontId="2" fillId="0" borderId="0" xfId="14" applyFont="1" applyFill="1"/>
    <xf numFmtId="0" fontId="2" fillId="9" borderId="0" xfId="14" applyFont="1" applyFill="1"/>
    <xf numFmtId="3" fontId="2" fillId="9" borderId="0" xfId="14" applyNumberFormat="1" applyFont="1" applyFill="1" applyAlignment="1">
      <alignment horizontal="center"/>
    </xf>
    <xf numFmtId="175" fontId="4" fillId="0" borderId="0" xfId="1" applyFont="1" applyFill="1"/>
    <xf numFmtId="0" fontId="10" fillId="0" borderId="12" xfId="14" applyFont="1" applyFill="1" applyBorder="1" applyAlignment="1">
      <alignment horizontal="center"/>
    </xf>
    <xf numFmtId="0" fontId="10" fillId="0" borderId="13" xfId="14" applyFont="1" applyFill="1" applyBorder="1" applyAlignment="1">
      <alignment horizontal="center"/>
    </xf>
    <xf numFmtId="0" fontId="10" fillId="0" borderId="11" xfId="14" applyFont="1" applyFill="1" applyBorder="1" applyAlignment="1">
      <alignment horizontal="center"/>
    </xf>
    <xf numFmtId="1" fontId="10" fillId="0" borderId="5" xfId="4" applyNumberFormat="1" applyFont="1" applyFill="1" applyBorder="1" applyAlignment="1">
      <alignment horizontal="center"/>
    </xf>
    <xf numFmtId="185" fontId="10" fillId="0" borderId="4" xfId="4" applyNumberFormat="1" applyFont="1" applyFill="1" applyBorder="1"/>
    <xf numFmtId="0" fontId="10" fillId="0" borderId="12" xfId="14" quotePrefix="1" applyFont="1" applyFill="1" applyBorder="1" applyAlignment="1">
      <alignment horizontal="center"/>
    </xf>
    <xf numFmtId="0" fontId="10" fillId="0" borderId="3" xfId="14" applyFont="1" applyFill="1" applyBorder="1"/>
    <xf numFmtId="185" fontId="10" fillId="0" borderId="5" xfId="4" applyNumberFormat="1" applyFont="1" applyFill="1" applyBorder="1"/>
    <xf numFmtId="0" fontId="10" fillId="0" borderId="17" xfId="14" applyFont="1" applyFill="1" applyBorder="1"/>
    <xf numFmtId="175" fontId="6" fillId="0" borderId="8" xfId="4" applyFont="1" applyFill="1" applyBorder="1"/>
    <xf numFmtId="175" fontId="10" fillId="0" borderId="9" xfId="4" applyFont="1" applyFill="1" applyBorder="1"/>
    <xf numFmtId="175" fontId="6" fillId="0" borderId="10" xfId="4" applyFont="1" applyFill="1" applyBorder="1"/>
    <xf numFmtId="175" fontId="6" fillId="0" borderId="6" xfId="14" applyNumberFormat="1" applyFont="1" applyBorder="1"/>
    <xf numFmtId="0" fontId="10" fillId="0" borderId="47" xfId="14" applyFont="1" applyFill="1" applyBorder="1" applyAlignment="1">
      <alignment horizontal="center"/>
    </xf>
    <xf numFmtId="49" fontId="10" fillId="0" borderId="2" xfId="14" applyNumberFormat="1" applyFont="1" applyFill="1" applyBorder="1" applyAlignment="1">
      <alignment horizontal="center"/>
    </xf>
    <xf numFmtId="1" fontId="10" fillId="0" borderId="1" xfId="4" applyNumberFormat="1" applyFont="1" applyFill="1" applyBorder="1" applyAlignment="1">
      <alignment horizontal="center"/>
    </xf>
    <xf numFmtId="1" fontId="10" fillId="0" borderId="0" xfId="14" applyNumberFormat="1" applyFont="1" applyFill="1" applyBorder="1"/>
    <xf numFmtId="175" fontId="6" fillId="2" borderId="51" xfId="4" applyFont="1" applyFill="1" applyBorder="1" applyAlignment="1"/>
    <xf numFmtId="0" fontId="10" fillId="0" borderId="52" xfId="14" applyFont="1" applyFill="1" applyBorder="1" applyAlignment="1">
      <alignment horizontal="center"/>
    </xf>
    <xf numFmtId="0" fontId="6" fillId="4" borderId="52" xfId="14" applyFont="1" applyFill="1" applyBorder="1" applyAlignment="1">
      <alignment horizontal="center"/>
    </xf>
    <xf numFmtId="49" fontId="10" fillId="0" borderId="52" xfId="14" applyNumberFormat="1" applyFont="1" applyBorder="1" applyAlignment="1">
      <alignment horizontal="center"/>
    </xf>
    <xf numFmtId="49" fontId="10" fillId="0" borderId="48" xfId="14" applyNumberFormat="1" applyFont="1" applyBorder="1" applyAlignment="1">
      <alignment horizontal="center"/>
    </xf>
    <xf numFmtId="0" fontId="10" fillId="0" borderId="0" xfId="14" applyFont="1" applyFill="1" applyAlignment="1"/>
    <xf numFmtId="0" fontId="10" fillId="0" borderId="0" xfId="14" applyFont="1" applyFill="1" applyAlignment="1">
      <alignment horizontal="left"/>
    </xf>
    <xf numFmtId="0" fontId="10" fillId="0" borderId="38" xfId="14" applyFont="1" applyFill="1" applyBorder="1"/>
    <xf numFmtId="0" fontId="2" fillId="0" borderId="38" xfId="14" applyFont="1" applyFill="1" applyBorder="1"/>
    <xf numFmtId="3" fontId="2" fillId="0" borderId="38" xfId="14" applyNumberFormat="1" applyFont="1" applyFill="1" applyBorder="1" applyAlignment="1">
      <alignment horizontal="center"/>
    </xf>
    <xf numFmtId="0" fontId="2" fillId="0" borderId="38" xfId="14" applyFont="1" applyFill="1" applyBorder="1" applyAlignment="1">
      <alignment horizontal="center"/>
    </xf>
    <xf numFmtId="175" fontId="38" fillId="0" borderId="38" xfId="4" applyFont="1" applyFill="1" applyBorder="1"/>
    <xf numFmtId="175" fontId="34" fillId="0" borderId="38" xfId="4" applyFont="1" applyFill="1" applyBorder="1"/>
    <xf numFmtId="0" fontId="39" fillId="0" borderId="0" xfId="14" applyFont="1" applyFill="1" applyAlignment="1">
      <alignment horizontal="center"/>
    </xf>
    <xf numFmtId="0" fontId="39" fillId="0" borderId="0" xfId="14" applyFont="1" applyFill="1"/>
    <xf numFmtId="0" fontId="40" fillId="0" borderId="0" xfId="14" applyFont="1" applyFill="1" applyAlignment="1"/>
    <xf numFmtId="0" fontId="40" fillId="0" borderId="0" xfId="14" applyFont="1" applyFill="1" applyAlignment="1">
      <alignment horizontal="left"/>
    </xf>
    <xf numFmtId="0" fontId="40" fillId="0" borderId="0" xfId="14" applyFont="1" applyFill="1" applyBorder="1"/>
    <xf numFmtId="0" fontId="39" fillId="0" borderId="0" xfId="14" applyFont="1" applyFill="1" applyBorder="1"/>
    <xf numFmtId="3" fontId="39" fillId="0" borderId="0" xfId="14" applyNumberFormat="1" applyFont="1" applyFill="1" applyBorder="1" applyAlignment="1">
      <alignment horizontal="center"/>
    </xf>
    <xf numFmtId="0" fontId="39" fillId="0" borderId="0" xfId="14" applyFont="1" applyFill="1" applyBorder="1" applyAlignment="1">
      <alignment horizontal="center"/>
    </xf>
    <xf numFmtId="175" fontId="39" fillId="0" borderId="0" xfId="4" applyFont="1" applyFill="1" applyBorder="1"/>
    <xf numFmtId="175" fontId="40" fillId="0" borderId="0" xfId="4" applyFont="1" applyFill="1" applyBorder="1"/>
    <xf numFmtId="175" fontId="10" fillId="0" borderId="53" xfId="4" applyFont="1" applyBorder="1"/>
    <xf numFmtId="3" fontId="10" fillId="0" borderId="53" xfId="14" applyNumberFormat="1" applyFont="1" applyBorder="1" applyAlignment="1">
      <alignment horizontal="center"/>
    </xf>
    <xf numFmtId="0" fontId="10" fillId="0" borderId="53" xfId="14" applyFont="1" applyBorder="1"/>
    <xf numFmtId="175" fontId="10" fillId="0" borderId="54" xfId="4" applyFont="1" applyBorder="1"/>
    <xf numFmtId="175" fontId="10" fillId="0" borderId="55" xfId="4" applyFont="1" applyFill="1" applyBorder="1"/>
    <xf numFmtId="175" fontId="10" fillId="0" borderId="53" xfId="4" applyFont="1" applyFill="1" applyBorder="1"/>
    <xf numFmtId="3" fontId="10" fillId="0" borderId="53" xfId="14" applyNumberFormat="1" applyFont="1" applyFill="1" applyBorder="1" applyAlignment="1">
      <alignment horizontal="center"/>
    </xf>
    <xf numFmtId="175" fontId="34" fillId="0" borderId="53" xfId="4" applyFont="1" applyFill="1" applyBorder="1"/>
    <xf numFmtId="175" fontId="37" fillId="0" borderId="18" xfId="4" applyFont="1" applyFill="1" applyBorder="1" applyAlignment="1">
      <alignment horizontal="center" vertical="center" wrapText="1"/>
    </xf>
    <xf numFmtId="175" fontId="34" fillId="0" borderId="24" xfId="4" applyFont="1" applyFill="1" applyBorder="1"/>
    <xf numFmtId="175" fontId="34" fillId="0" borderId="46" xfId="4" applyFont="1" applyFill="1" applyBorder="1"/>
    <xf numFmtId="175" fontId="34" fillId="0" borderId="54" xfId="4" applyFont="1" applyFill="1" applyBorder="1"/>
    <xf numFmtId="175" fontId="6" fillId="0" borderId="6" xfId="4" applyFont="1" applyBorder="1"/>
    <xf numFmtId="3" fontId="6" fillId="0" borderId="6" xfId="14" applyNumberFormat="1" applyFont="1" applyBorder="1" applyAlignment="1">
      <alignment horizontal="center"/>
    </xf>
    <xf numFmtId="0" fontId="6" fillId="0" borderId="6" xfId="14" applyFont="1" applyBorder="1"/>
    <xf numFmtId="0" fontId="6" fillId="0" borderId="31" xfId="14" applyFont="1" applyBorder="1"/>
    <xf numFmtId="175" fontId="6" fillId="0" borderId="15" xfId="4" applyFont="1" applyFill="1" applyBorder="1"/>
    <xf numFmtId="175" fontId="6" fillId="0" borderId="6" xfId="4" applyFont="1" applyFill="1" applyBorder="1"/>
    <xf numFmtId="0" fontId="6" fillId="0" borderId="6" xfId="14" applyFont="1" applyFill="1" applyBorder="1" applyAlignment="1">
      <alignment horizontal="center"/>
    </xf>
    <xf numFmtId="175" fontId="37" fillId="0" borderId="6" xfId="4" applyFont="1" applyFill="1" applyBorder="1"/>
    <xf numFmtId="175" fontId="37" fillId="0" borderId="31" xfId="4" applyFont="1" applyFill="1" applyBorder="1"/>
    <xf numFmtId="175" fontId="6" fillId="0" borderId="7" xfId="1" applyFont="1" applyBorder="1" applyAlignment="1">
      <alignment horizontal="center" vertical="center" wrapText="1"/>
    </xf>
    <xf numFmtId="175" fontId="6" fillId="0" borderId="1" xfId="1" applyFont="1" applyBorder="1" applyAlignment="1">
      <alignment horizontal="center" vertical="center" wrapText="1"/>
    </xf>
    <xf numFmtId="175" fontId="10" fillId="0" borderId="56" xfId="1" applyFont="1" applyBorder="1"/>
    <xf numFmtId="175" fontId="10" fillId="0" borderId="22" xfId="1" applyFont="1" applyBorder="1"/>
    <xf numFmtId="175" fontId="2" fillId="0" borderId="0" xfId="1" applyFont="1"/>
    <xf numFmtId="175" fontId="10" fillId="0" borderId="38" xfId="1" applyFont="1" applyBorder="1"/>
    <xf numFmtId="175" fontId="6" fillId="0" borderId="18" xfId="1" applyFont="1" applyBorder="1" applyAlignment="1">
      <alignment horizontal="center" vertical="center" wrapText="1"/>
    </xf>
    <xf numFmtId="175" fontId="10" fillId="0" borderId="37" xfId="1" applyFont="1" applyBorder="1"/>
    <xf numFmtId="175" fontId="10" fillId="0" borderId="23" xfId="1" applyFont="1" applyBorder="1"/>
    <xf numFmtId="175" fontId="10" fillId="0" borderId="57" xfId="1" applyFont="1" applyBorder="1"/>
    <xf numFmtId="0" fontId="11" fillId="0" borderId="19" xfId="0" applyFont="1" applyBorder="1"/>
    <xf numFmtId="0" fontId="6" fillId="0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5" fontId="10" fillId="0" borderId="58" xfId="0" applyNumberFormat="1" applyFont="1" applyFill="1" applyBorder="1"/>
    <xf numFmtId="175" fontId="10" fillId="0" borderId="20" xfId="1" applyFont="1" applyFill="1" applyBorder="1"/>
    <xf numFmtId="175" fontId="10" fillId="0" borderId="34" xfId="1" applyFont="1" applyFill="1" applyBorder="1"/>
    <xf numFmtId="175" fontId="10" fillId="0" borderId="25" xfId="1" applyFont="1" applyFill="1" applyBorder="1"/>
    <xf numFmtId="175" fontId="10" fillId="0" borderId="21" xfId="1" applyFont="1" applyFill="1" applyBorder="1"/>
    <xf numFmtId="175" fontId="10" fillId="0" borderId="4" xfId="1" applyFont="1" applyFill="1" applyBorder="1"/>
    <xf numFmtId="0" fontId="31" fillId="0" borderId="38" xfId="0" applyFont="1" applyFill="1" applyBorder="1"/>
    <xf numFmtId="0" fontId="6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175" fontId="11" fillId="0" borderId="1" xfId="1" applyFont="1" applyFill="1" applyBorder="1" applyAlignment="1">
      <alignment horizontal="center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0" fontId="41" fillId="2" borderId="5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/>
    </xf>
    <xf numFmtId="0" fontId="41" fillId="2" borderId="5" xfId="0" applyFont="1" applyFill="1" applyBorder="1" applyAlignment="1" applyProtection="1">
      <alignment horizontal="center" vertical="top"/>
      <protection locked="0"/>
    </xf>
    <xf numFmtId="0" fontId="41" fillId="2" borderId="5" xfId="0" applyFont="1" applyFill="1" applyBorder="1" applyAlignment="1">
      <alignment horizontal="center" vertical="top"/>
    </xf>
    <xf numFmtId="175" fontId="41" fillId="2" borderId="5" xfId="1" applyFont="1" applyFill="1" applyBorder="1" applyAlignment="1">
      <alignment horizontal="center"/>
    </xf>
    <xf numFmtId="0" fontId="41" fillId="0" borderId="0" xfId="0" applyFont="1"/>
    <xf numFmtId="175" fontId="2" fillId="0" borderId="38" xfId="4" applyFont="1" applyFill="1" applyBorder="1"/>
    <xf numFmtId="175" fontId="10" fillId="0" borderId="38" xfId="4" applyFont="1" applyFill="1" applyBorder="1"/>
    <xf numFmtId="175" fontId="6" fillId="0" borderId="1" xfId="1" applyNumberFormat="1" applyFont="1" applyBorder="1"/>
    <xf numFmtId="175" fontId="6" fillId="0" borderId="3" xfId="1" applyNumberFormat="1" applyFont="1" applyBorder="1"/>
    <xf numFmtId="175" fontId="6" fillId="0" borderId="5" xfId="1" applyNumberFormat="1" applyFont="1" applyBorder="1"/>
    <xf numFmtId="175" fontId="10" fillId="0" borderId="1" xfId="1" applyNumberFormat="1" applyFont="1" applyBorder="1"/>
    <xf numFmtId="175" fontId="10" fillId="0" borderId="3" xfId="1" applyNumberFormat="1" applyFont="1" applyBorder="1"/>
    <xf numFmtId="175" fontId="10" fillId="0" borderId="5" xfId="1" applyNumberFormat="1" applyFont="1" applyBorder="1"/>
    <xf numFmtId="175" fontId="10" fillId="0" borderId="4" xfId="1" applyNumberFormat="1" applyFont="1" applyBorder="1"/>
    <xf numFmtId="43" fontId="5" fillId="0" borderId="0" xfId="0" applyNumberFormat="1" applyFont="1"/>
    <xf numFmtId="175" fontId="28" fillId="0" borderId="0" xfId="1" applyFont="1"/>
    <xf numFmtId="0" fontId="11" fillId="0" borderId="1" xfId="0" applyFont="1" applyFill="1" applyBorder="1" applyAlignment="1">
      <alignment horizontal="left"/>
    </xf>
    <xf numFmtId="2" fontId="10" fillId="0" borderId="4" xfId="4" applyNumberFormat="1" applyFont="1" applyFill="1" applyBorder="1" applyAlignment="1">
      <alignment horizontal="center"/>
    </xf>
    <xf numFmtId="0" fontId="10" fillId="0" borderId="45" xfId="14" applyFont="1" applyFill="1" applyBorder="1" applyAlignment="1">
      <alignment horizontal="left"/>
    </xf>
    <xf numFmtId="43" fontId="10" fillId="0" borderId="0" xfId="14" applyNumberFormat="1" applyFont="1" applyBorder="1"/>
    <xf numFmtId="9" fontId="42" fillId="0" borderId="0" xfId="14" applyNumberFormat="1" applyFont="1" applyBorder="1"/>
    <xf numFmtId="175" fontId="6" fillId="0" borderId="0" xfId="1" applyNumberFormat="1" applyFont="1"/>
    <xf numFmtId="0" fontId="11" fillId="0" borderId="0" xfId="14" applyFont="1" applyFill="1" applyBorder="1"/>
    <xf numFmtId="0" fontId="11" fillId="0" borderId="0" xfId="14" applyFont="1" applyFill="1"/>
    <xf numFmtId="43" fontId="10" fillId="0" borderId="3" xfId="14" applyNumberFormat="1" applyFont="1" applyFill="1" applyBorder="1"/>
    <xf numFmtId="0" fontId="10" fillId="0" borderId="5" xfId="14" applyFont="1" applyFill="1" applyBorder="1"/>
    <xf numFmtId="0" fontId="10" fillId="0" borderId="4" xfId="14" applyFont="1" applyFill="1" applyBorder="1"/>
    <xf numFmtId="49" fontId="10" fillId="0" borderId="12" xfId="14" quotePrefix="1" applyNumberFormat="1" applyFont="1" applyFill="1" applyBorder="1" applyAlignment="1">
      <alignment horizontal="center"/>
    </xf>
    <xf numFmtId="49" fontId="10" fillId="0" borderId="13" xfId="14" applyNumberFormat="1" applyFont="1" applyFill="1" applyBorder="1" applyAlignment="1">
      <alignment horizontal="center"/>
    </xf>
    <xf numFmtId="0" fontId="10" fillId="0" borderId="22" xfId="14" applyFont="1" applyFill="1" applyBorder="1"/>
    <xf numFmtId="4" fontId="5" fillId="0" borderId="0" xfId="0" applyNumberFormat="1" applyFont="1"/>
    <xf numFmtId="10" fontId="2" fillId="0" borderId="0" xfId="33" applyNumberFormat="1" applyFont="1"/>
    <xf numFmtId="175" fontId="6" fillId="0" borderId="6" xfId="0" applyNumberFormat="1" applyFont="1" applyBorder="1" applyAlignment="1">
      <alignment horizontal="left" vertical="center"/>
    </xf>
    <xf numFmtId="175" fontId="10" fillId="0" borderId="59" xfId="0" applyNumberFormat="1" applyFont="1" applyBorder="1"/>
    <xf numFmtId="175" fontId="10" fillId="0" borderId="60" xfId="0" applyNumberFormat="1" applyFont="1" applyBorder="1"/>
    <xf numFmtId="175" fontId="10" fillId="0" borderId="0" xfId="0" applyNumberFormat="1" applyFont="1" applyBorder="1"/>
    <xf numFmtId="0" fontId="10" fillId="0" borderId="61" xfId="0" applyFont="1" applyBorder="1"/>
    <xf numFmtId="175" fontId="6" fillId="0" borderId="62" xfId="1" applyFont="1" applyBorder="1"/>
    <xf numFmtId="175" fontId="10" fillId="0" borderId="17" xfId="0" applyNumberFormat="1" applyFont="1" applyBorder="1"/>
    <xf numFmtId="185" fontId="6" fillId="2" borderId="47" xfId="1" applyNumberFormat="1" applyFont="1" applyFill="1" applyBorder="1" applyAlignment="1">
      <alignment horizontal="center"/>
    </xf>
    <xf numFmtId="185" fontId="6" fillId="2" borderId="49" xfId="1" applyNumberFormat="1" applyFont="1" applyFill="1" applyBorder="1"/>
    <xf numFmtId="185" fontId="6" fillId="2" borderId="37" xfId="1" applyNumberFormat="1" applyFont="1" applyFill="1" applyBorder="1" applyAlignment="1">
      <alignment horizontal="center"/>
    </xf>
    <xf numFmtId="185" fontId="6" fillId="2" borderId="63" xfId="1" applyNumberFormat="1" applyFont="1" applyFill="1" applyBorder="1"/>
    <xf numFmtId="185" fontId="6" fillId="2" borderId="3" xfId="1" applyNumberFormat="1" applyFont="1" applyFill="1" applyBorder="1" applyAlignment="1">
      <alignment horizontal="center"/>
    </xf>
    <xf numFmtId="185" fontId="6" fillId="2" borderId="5" xfId="1" applyNumberFormat="1" applyFont="1" applyFill="1" applyBorder="1"/>
    <xf numFmtId="185" fontId="6" fillId="0" borderId="0" xfId="1" applyNumberFormat="1" applyFont="1" applyFill="1" applyBorder="1" applyAlignment="1">
      <alignment horizontal="center"/>
    </xf>
    <xf numFmtId="185" fontId="6" fillId="0" borderId="0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185" fontId="6" fillId="2" borderId="3" xfId="1" applyNumberFormat="1" applyFont="1" applyFill="1" applyBorder="1" applyAlignment="1">
      <alignment horizontal="center" vertical="center" wrapText="1"/>
    </xf>
    <xf numFmtId="185" fontId="6" fillId="2" borderId="4" xfId="1" applyNumberFormat="1" applyFont="1" applyFill="1" applyBorder="1" applyAlignment="1">
      <alignment horizontal="center" vertical="center" wrapText="1"/>
    </xf>
    <xf numFmtId="185" fontId="6" fillId="2" borderId="5" xfId="1" applyNumberFormat="1" applyFont="1" applyFill="1" applyBorder="1" applyAlignment="1">
      <alignment horizontal="center" vertical="center" wrapText="1"/>
    </xf>
    <xf numFmtId="0" fontId="6" fillId="0" borderId="0" xfId="14" applyFont="1" applyFill="1" applyBorder="1" applyAlignment="1">
      <alignment horizontal="right"/>
    </xf>
    <xf numFmtId="0" fontId="6" fillId="2" borderId="2" xfId="14" applyFont="1" applyFill="1" applyBorder="1" applyAlignment="1">
      <alignment horizontal="center"/>
    </xf>
    <xf numFmtId="0" fontId="6" fillId="2" borderId="7" xfId="14" applyFont="1" applyFill="1" applyBorder="1" applyAlignment="1">
      <alignment horizontal="center"/>
    </xf>
    <xf numFmtId="0" fontId="6" fillId="0" borderId="0" xfId="14" applyFont="1" applyBorder="1" applyAlignment="1">
      <alignment horizontal="right"/>
    </xf>
    <xf numFmtId="0" fontId="6" fillId="0" borderId="14" xfId="14" applyFont="1" applyBorder="1" applyAlignment="1">
      <alignment horizontal="center"/>
    </xf>
    <xf numFmtId="0" fontId="6" fillId="0" borderId="15" xfId="14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0" xfId="14" applyFont="1" applyAlignment="1">
      <alignment horizontal="center"/>
    </xf>
    <xf numFmtId="0" fontId="6" fillId="0" borderId="65" xfId="14" applyFont="1" applyBorder="1" applyAlignment="1">
      <alignment horizontal="center"/>
    </xf>
    <xf numFmtId="0" fontId="6" fillId="0" borderId="66" xfId="14" applyFont="1" applyBorder="1" applyAlignment="1">
      <alignment horizontal="center"/>
    </xf>
    <xf numFmtId="0" fontId="6" fillId="0" borderId="67" xfId="14" applyFont="1" applyBorder="1" applyAlignment="1">
      <alignment horizontal="center"/>
    </xf>
    <xf numFmtId="0" fontId="37" fillId="0" borderId="68" xfId="14" applyFont="1" applyFill="1" applyBorder="1" applyAlignment="1">
      <alignment horizontal="center"/>
    </xf>
    <xf numFmtId="0" fontId="37" fillId="0" borderId="69" xfId="14" applyFont="1" applyFill="1" applyBorder="1" applyAlignment="1">
      <alignment horizontal="center"/>
    </xf>
    <xf numFmtId="0" fontId="6" fillId="0" borderId="70" xfId="14" applyFont="1" applyBorder="1" applyAlignment="1">
      <alignment horizontal="center" vertical="center" wrapText="1"/>
    </xf>
    <xf numFmtId="0" fontId="6" fillId="0" borderId="40" xfId="14" applyFont="1" applyBorder="1" applyAlignment="1">
      <alignment horizontal="center" vertical="center" wrapText="1"/>
    </xf>
    <xf numFmtId="0" fontId="10" fillId="0" borderId="45" xfId="14" applyFont="1" applyBorder="1" applyAlignment="1">
      <alignment horizontal="left"/>
    </xf>
    <xf numFmtId="0" fontId="10" fillId="0" borderId="44" xfId="14" applyFont="1" applyBorder="1" applyAlignment="1">
      <alignment horizontal="left"/>
    </xf>
    <xf numFmtId="0" fontId="10" fillId="0" borderId="45" xfId="14" applyFont="1" applyFill="1" applyBorder="1" applyAlignment="1">
      <alignment horizontal="left"/>
    </xf>
    <xf numFmtId="0" fontId="10" fillId="0" borderId="45" xfId="14" quotePrefix="1" applyFont="1" applyBorder="1" applyAlignment="1">
      <alignment horizontal="left"/>
    </xf>
    <xf numFmtId="0" fontId="10" fillId="0" borderId="44" xfId="14" applyFont="1" applyFill="1" applyBorder="1" applyAlignment="1">
      <alignment horizontal="left"/>
    </xf>
    <xf numFmtId="0" fontId="10" fillId="0" borderId="45" xfId="14" applyFont="1" applyBorder="1" applyAlignment="1">
      <alignment horizontal="center"/>
    </xf>
    <xf numFmtId="0" fontId="10" fillId="0" borderId="64" xfId="14" applyFont="1" applyBorder="1" applyAlignment="1">
      <alignment horizontal="center"/>
    </xf>
    <xf numFmtId="0" fontId="6" fillId="0" borderId="27" xfId="14" applyFont="1" applyBorder="1" applyAlignment="1">
      <alignment horizontal="center"/>
    </xf>
    <xf numFmtId="0" fontId="6" fillId="0" borderId="62" xfId="14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71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0" borderId="73" xfId="0" applyFont="1" applyFill="1" applyBorder="1" applyAlignment="1">
      <alignment horizontal="center"/>
    </xf>
    <xf numFmtId="0" fontId="10" fillId="0" borderId="38" xfId="0" applyFont="1" applyBorder="1" applyAlignment="1">
      <alignment horizontal="left"/>
    </xf>
    <xf numFmtId="0" fontId="11" fillId="0" borderId="70" xfId="0" applyFont="1" applyFill="1" applyBorder="1" applyAlignment="1">
      <alignment horizontal="left"/>
    </xf>
    <xf numFmtId="0" fontId="11" fillId="0" borderId="39" xfId="0" applyFont="1" applyFill="1" applyBorder="1" applyAlignment="1">
      <alignment horizontal="left"/>
    </xf>
    <xf numFmtId="0" fontId="11" fillId="0" borderId="70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185" fontId="6" fillId="2" borderId="37" xfId="1" applyNumberFormat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63" xfId="0" applyFont="1" applyBorder="1" applyAlignment="1">
      <alignment vertical="center" wrapText="1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/>
    </xf>
    <xf numFmtId="0" fontId="6" fillId="2" borderId="65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185" fontId="6" fillId="2" borderId="65" xfId="1" applyNumberFormat="1" applyFont="1" applyFill="1" applyBorder="1" applyAlignment="1">
      <alignment horizontal="center"/>
    </xf>
    <xf numFmtId="185" fontId="6" fillId="2" borderId="66" xfId="1" applyNumberFormat="1" applyFont="1" applyFill="1" applyBorder="1" applyAlignment="1">
      <alignment horizontal="center"/>
    </xf>
    <xf numFmtId="185" fontId="6" fillId="2" borderId="67" xfId="1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85" fontId="6" fillId="2" borderId="12" xfId="1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6" fillId="2" borderId="49" xfId="0" applyFont="1" applyFill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2" borderId="3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0" borderId="62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6" fillId="2" borderId="12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</cellXfs>
  <cellStyles count="36">
    <cellStyle name="Comma" xfId="1" builtinId="3"/>
    <cellStyle name="Comma 2" xfId="2"/>
    <cellStyle name="Comma 2 2" xfId="3"/>
    <cellStyle name="Comma 2 2 2" xfId="4"/>
    <cellStyle name="Comma 2 2 2 2" xfId="5"/>
    <cellStyle name="Comma 2 2 3" xfId="6"/>
    <cellStyle name="Comma 2 3" xfId="7"/>
    <cellStyle name="Comma 2 4" xfId="8"/>
    <cellStyle name="Comma 3" xfId="9"/>
    <cellStyle name="Comma 3 2" xfId="10"/>
    <cellStyle name="Comma 3 3" xfId="11"/>
    <cellStyle name="Comma 4" xfId="12"/>
    <cellStyle name="Comma 5" xfId="13"/>
    <cellStyle name="Normal" xfId="0" builtinId="0"/>
    <cellStyle name="Normal 2" xfId="14"/>
    <cellStyle name="Normal 2 2" xfId="15"/>
    <cellStyle name="Normal 2 2 2" xfId="16"/>
    <cellStyle name="Normal 2 3" xfId="17"/>
    <cellStyle name="Normal 2 3 2" xfId="18"/>
    <cellStyle name="Normal 2 3 2 2" xfId="19"/>
    <cellStyle name="Normal 2 4" xfId="20"/>
    <cellStyle name="Normal 2 4 2" xfId="21"/>
    <cellStyle name="Normal 2 5" xfId="22"/>
    <cellStyle name="Normal 2 6" xfId="23"/>
    <cellStyle name="Normal 3" xfId="24"/>
    <cellStyle name="Normal 3 2" xfId="25"/>
    <cellStyle name="Normal 4" xfId="26"/>
    <cellStyle name="Normal 4 2" xfId="27"/>
    <cellStyle name="Normal 5" xfId="28"/>
    <cellStyle name="Normal 5 2" xfId="29"/>
    <cellStyle name="Normal 6" xfId="30"/>
    <cellStyle name="Note 2" xfId="31"/>
    <cellStyle name="Note 2 2" xfId="32"/>
    <cellStyle name="Percent" xfId="33" builtinId="5"/>
    <cellStyle name="เครื่องหมายจุลภาค 2" xfId="34"/>
    <cellStyle name="ปกติ_Sheet1" xfId="35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48"/>
  <sheetViews>
    <sheetView tabSelected="1" zoomScale="80" zoomScaleNormal="80" workbookViewId="0">
      <selection sqref="A1:F1"/>
    </sheetView>
  </sheetViews>
  <sheetFormatPr defaultColWidth="9.28515625" defaultRowHeight="24"/>
  <cols>
    <col min="1" max="1" width="11.7109375" style="2" customWidth="1"/>
    <col min="2" max="2" width="65" style="2" customWidth="1"/>
    <col min="3" max="3" width="17.140625" style="2" bestFit="1" customWidth="1"/>
    <col min="4" max="4" width="18" style="2" bestFit="1" customWidth="1"/>
    <col min="5" max="5" width="19.42578125" style="2" customWidth="1"/>
    <col min="6" max="6" width="21.5703125" style="2" bestFit="1" customWidth="1"/>
    <col min="7" max="7" width="17.85546875" style="2" bestFit="1" customWidth="1"/>
    <col min="8" max="8" width="18.5703125" style="2" customWidth="1"/>
    <col min="9" max="9" width="17.85546875" style="2" bestFit="1" customWidth="1"/>
    <col min="10" max="16384" width="9.28515625" style="2"/>
  </cols>
  <sheetData>
    <row r="1" spans="1:6">
      <c r="A1" s="544" t="s">
        <v>205</v>
      </c>
      <c r="B1" s="544"/>
      <c r="C1" s="544"/>
      <c r="D1" s="544"/>
      <c r="E1" s="544"/>
      <c r="F1" s="544"/>
    </row>
    <row r="2" spans="1:6">
      <c r="A2" s="544" t="s">
        <v>206</v>
      </c>
      <c r="B2" s="544"/>
      <c r="C2" s="544"/>
      <c r="D2" s="544"/>
      <c r="E2" s="544"/>
      <c r="F2" s="544"/>
    </row>
    <row r="3" spans="1:6">
      <c r="A3" s="544" t="s">
        <v>318</v>
      </c>
      <c r="B3" s="544"/>
      <c r="C3" s="544"/>
      <c r="D3" s="544"/>
      <c r="E3" s="544"/>
      <c r="F3" s="544"/>
    </row>
    <row r="4" spans="1:6">
      <c r="A4" s="7"/>
    </row>
    <row r="5" spans="1:6">
      <c r="A5" s="545" t="s">
        <v>207</v>
      </c>
      <c r="B5" s="545"/>
      <c r="C5" s="545"/>
      <c r="D5" s="545"/>
      <c r="E5" s="545"/>
      <c r="F5" s="545"/>
    </row>
    <row r="6" spans="1:6" ht="22.5" customHeight="1">
      <c r="F6" s="3" t="s">
        <v>63</v>
      </c>
    </row>
    <row r="7" spans="1:6" s="5" customFormat="1" ht="26.25" customHeight="1">
      <c r="A7" s="546" t="s">
        <v>36</v>
      </c>
      <c r="B7" s="547"/>
      <c r="C7" s="213" t="s">
        <v>37</v>
      </c>
      <c r="D7" s="213" t="s">
        <v>23</v>
      </c>
      <c r="E7" s="213" t="s">
        <v>24</v>
      </c>
      <c r="F7" s="213" t="s">
        <v>16</v>
      </c>
    </row>
    <row r="8" spans="1:6">
      <c r="A8" s="6" t="s">
        <v>38</v>
      </c>
      <c r="B8" s="6"/>
      <c r="C8" s="202">
        <v>145323099.92000002</v>
      </c>
      <c r="D8" s="202">
        <v>28087341.550000004</v>
      </c>
      <c r="E8" s="202">
        <v>15895196.319999997</v>
      </c>
      <c r="F8" s="202">
        <f t="shared" ref="F8:F14" si="0">SUM(C8:E8)</f>
        <v>189305637.79000002</v>
      </c>
    </row>
    <row r="9" spans="1:6">
      <c r="A9" s="6" t="s">
        <v>39</v>
      </c>
      <c r="B9" s="6"/>
      <c r="C9" s="202">
        <v>9636005.8000000007</v>
      </c>
      <c r="D9" s="202">
        <v>7243030.2299999995</v>
      </c>
      <c r="E9" s="212">
        <v>0</v>
      </c>
      <c r="F9" s="202">
        <f t="shared" si="0"/>
        <v>16879036.030000001</v>
      </c>
    </row>
    <row r="10" spans="1:6">
      <c r="A10" s="6" t="s">
        <v>40</v>
      </c>
      <c r="B10" s="6"/>
      <c r="C10" s="202">
        <v>9799839.6700000018</v>
      </c>
      <c r="D10" s="202">
        <v>256095.51</v>
      </c>
      <c r="E10" s="212">
        <v>0</v>
      </c>
      <c r="F10" s="202">
        <f t="shared" si="0"/>
        <v>10055935.180000002</v>
      </c>
    </row>
    <row r="11" spans="1:6">
      <c r="A11" s="6" t="s">
        <v>211</v>
      </c>
      <c r="B11" s="6"/>
      <c r="C11" s="202">
        <v>70763181.640000001</v>
      </c>
      <c r="D11" s="202">
        <v>1457720.9500000002</v>
      </c>
      <c r="E11" s="212">
        <v>0</v>
      </c>
      <c r="F11" s="202">
        <f t="shared" si="0"/>
        <v>72220902.590000004</v>
      </c>
    </row>
    <row r="12" spans="1:6">
      <c r="A12" s="6" t="s">
        <v>41</v>
      </c>
      <c r="B12" s="6"/>
      <c r="C12" s="202">
        <v>33509477.290000007</v>
      </c>
      <c r="D12" s="202">
        <v>5061546.120000001</v>
      </c>
      <c r="E12" s="211">
        <v>229418.69999999995</v>
      </c>
      <c r="F12" s="202">
        <f>SUM(C12:E12)</f>
        <v>38800442.110000014</v>
      </c>
    </row>
    <row r="13" spans="1:6">
      <c r="A13" s="153" t="s">
        <v>364</v>
      </c>
      <c r="B13" s="154"/>
      <c r="C13" s="244">
        <v>103.00000000000004</v>
      </c>
      <c r="D13" s="244">
        <v>27</v>
      </c>
      <c r="E13" s="216">
        <v>0</v>
      </c>
      <c r="F13" s="202">
        <f>SUM(C13:E13)</f>
        <v>130.00000000000006</v>
      </c>
    </row>
    <row r="14" spans="1:6">
      <c r="A14" s="153" t="s">
        <v>383</v>
      </c>
      <c r="B14" s="154"/>
      <c r="C14" s="204">
        <v>430798.35</v>
      </c>
      <c r="D14" s="216">
        <v>0</v>
      </c>
      <c r="E14" s="216">
        <v>0</v>
      </c>
      <c r="F14" s="204">
        <f t="shared" si="0"/>
        <v>430798.35</v>
      </c>
    </row>
    <row r="15" spans="1:6" s="7" customFormat="1" ht="24.75" thickBot="1">
      <c r="A15" s="548" t="s">
        <v>26</v>
      </c>
      <c r="B15" s="549"/>
      <c r="C15" s="217">
        <f>SUM(C8:C14)</f>
        <v>269462505.67000008</v>
      </c>
      <c r="D15" s="217">
        <f>SUM(D8:D14)</f>
        <v>42105761.359999999</v>
      </c>
      <c r="E15" s="217">
        <f>SUM(E8:E14)</f>
        <v>16124615.019999996</v>
      </c>
      <c r="F15" s="217">
        <f>SUM(F8:F14)</f>
        <v>327692882.05000007</v>
      </c>
    </row>
    <row r="16" spans="1:6" ht="24.75" thickTop="1">
      <c r="C16" s="215"/>
      <c r="D16" s="215"/>
      <c r="E16" s="215"/>
      <c r="F16" s="215"/>
    </row>
    <row r="17" spans="1:9">
      <c r="A17" s="7" t="s">
        <v>53</v>
      </c>
      <c r="B17" s="7"/>
    </row>
    <row r="18" spans="1:9">
      <c r="A18" s="7" t="s">
        <v>102</v>
      </c>
      <c r="F18" s="405">
        <v>5556396171.5700006</v>
      </c>
      <c r="I18" s="11"/>
    </row>
    <row r="19" spans="1:9">
      <c r="A19" s="2" t="s">
        <v>105</v>
      </c>
      <c r="B19" s="2" t="s">
        <v>106</v>
      </c>
      <c r="I19" s="203"/>
    </row>
    <row r="20" spans="1:9">
      <c r="B20" s="2" t="s">
        <v>94</v>
      </c>
      <c r="E20" s="8">
        <v>31636228.65000001</v>
      </c>
      <c r="F20" s="509"/>
      <c r="I20" s="11"/>
    </row>
    <row r="21" spans="1:9">
      <c r="B21" s="2" t="s">
        <v>95</v>
      </c>
      <c r="E21" s="8">
        <v>208482.13</v>
      </c>
      <c r="F21" s="509"/>
    </row>
    <row r="22" spans="1:9">
      <c r="B22" s="2" t="s">
        <v>96</v>
      </c>
      <c r="E22" s="8">
        <v>2303552.4199999995</v>
      </c>
      <c r="F22" s="509"/>
    </row>
    <row r="23" spans="1:9">
      <c r="B23" s="2" t="s">
        <v>97</v>
      </c>
      <c r="E23" s="8">
        <v>1772723.6</v>
      </c>
      <c r="F23" s="509"/>
    </row>
    <row r="24" spans="1:9">
      <c r="B24" s="2" t="s">
        <v>248</v>
      </c>
      <c r="E24" s="8">
        <v>190194</v>
      </c>
      <c r="F24" s="509"/>
    </row>
    <row r="25" spans="1:9">
      <c r="B25" s="2" t="s">
        <v>98</v>
      </c>
      <c r="E25" s="8">
        <v>3194345.65</v>
      </c>
      <c r="F25" s="509"/>
    </row>
    <row r="26" spans="1:9">
      <c r="B26" s="2" t="s">
        <v>249</v>
      </c>
      <c r="E26" s="8">
        <v>32785.800000000003</v>
      </c>
      <c r="F26" s="509"/>
    </row>
    <row r="27" spans="1:9">
      <c r="B27" s="2" t="s">
        <v>202</v>
      </c>
      <c r="E27" s="8">
        <v>1523532</v>
      </c>
      <c r="F27" s="509"/>
    </row>
    <row r="28" spans="1:9">
      <c r="B28" s="2" t="s">
        <v>99</v>
      </c>
      <c r="E28" s="8">
        <v>89025</v>
      </c>
      <c r="F28" s="509"/>
    </row>
    <row r="29" spans="1:9">
      <c r="B29" s="2" t="s">
        <v>188</v>
      </c>
      <c r="E29" s="8">
        <v>3609790</v>
      </c>
      <c r="F29" s="509"/>
    </row>
    <row r="30" spans="1:9">
      <c r="B30" s="2" t="s">
        <v>189</v>
      </c>
      <c r="E30" s="8">
        <v>739626.2300000001</v>
      </c>
      <c r="F30" s="509"/>
    </row>
    <row r="31" spans="1:9">
      <c r="B31" s="2" t="s">
        <v>190</v>
      </c>
      <c r="E31" s="8">
        <v>56000</v>
      </c>
      <c r="F31" s="509"/>
    </row>
    <row r="32" spans="1:9">
      <c r="B32" s="2" t="s">
        <v>250</v>
      </c>
      <c r="E32" s="8">
        <v>8509.75</v>
      </c>
      <c r="F32" s="509"/>
    </row>
    <row r="33" spans="1:8">
      <c r="B33" s="2" t="s">
        <v>100</v>
      </c>
      <c r="E33" s="8">
        <v>61130.64</v>
      </c>
      <c r="F33" s="509"/>
    </row>
    <row r="34" spans="1:8">
      <c r="B34" s="2" t="s">
        <v>317</v>
      </c>
      <c r="E34" s="8">
        <v>2231639250</v>
      </c>
      <c r="F34" s="509"/>
    </row>
    <row r="35" spans="1:8">
      <c r="B35" s="2" t="s">
        <v>101</v>
      </c>
      <c r="E35" s="8">
        <v>22977500</v>
      </c>
      <c r="F35" s="509"/>
    </row>
    <row r="36" spans="1:8" ht="22.15" customHeight="1">
      <c r="B36" s="2" t="s">
        <v>169</v>
      </c>
      <c r="E36" s="8">
        <v>4613680</v>
      </c>
      <c r="F36" s="509"/>
    </row>
    <row r="37" spans="1:8">
      <c r="B37" s="2" t="s">
        <v>191</v>
      </c>
      <c r="E37" s="8">
        <v>3369937.2800000003</v>
      </c>
      <c r="F37" s="509"/>
    </row>
    <row r="38" spans="1:8">
      <c r="B38" s="2" t="s">
        <v>192</v>
      </c>
      <c r="E38" s="8">
        <v>55069900.51000002</v>
      </c>
      <c r="F38" s="509"/>
    </row>
    <row r="39" spans="1:8">
      <c r="B39" s="2" t="s">
        <v>193</v>
      </c>
      <c r="E39" s="8">
        <v>759254501.20000017</v>
      </c>
      <c r="F39" s="509"/>
    </row>
    <row r="40" spans="1:8">
      <c r="B40" s="2" t="s">
        <v>194</v>
      </c>
      <c r="E40" s="8">
        <v>2103842922.0400004</v>
      </c>
      <c r="F40" s="509"/>
    </row>
    <row r="41" spans="1:8">
      <c r="B41" s="2" t="s">
        <v>195</v>
      </c>
      <c r="E41" s="8">
        <v>2509672.6199999996</v>
      </c>
      <c r="F41" s="509"/>
    </row>
    <row r="42" spans="1:8" hidden="1">
      <c r="B42" s="2" t="s">
        <v>278</v>
      </c>
      <c r="D42" s="2">
        <v>0</v>
      </c>
      <c r="E42" s="165">
        <v>0</v>
      </c>
      <c r="F42" s="509">
        <f>D42-E42</f>
        <v>0</v>
      </c>
    </row>
    <row r="43" spans="1:8" ht="26.25">
      <c r="A43" s="7" t="s">
        <v>103</v>
      </c>
      <c r="E43" s="11"/>
      <c r="F43" s="510">
        <f>-SUM(E20:E42)</f>
        <v>-5228703289.5200014</v>
      </c>
    </row>
    <row r="44" spans="1:8" hidden="1">
      <c r="B44" s="2" t="s">
        <v>251</v>
      </c>
      <c r="E44" s="155">
        <v>0</v>
      </c>
    </row>
    <row r="45" spans="1:8" ht="26.25">
      <c r="E45" s="9"/>
      <c r="F45" s="10">
        <f>SUM(F18:F44)</f>
        <v>327692882.04999924</v>
      </c>
      <c r="G45" s="8"/>
      <c r="H45" s="8"/>
    </row>
    <row r="47" spans="1:8">
      <c r="G47" s="11"/>
    </row>
    <row r="48" spans="1:8">
      <c r="F48" s="11"/>
    </row>
  </sheetData>
  <mergeCells count="6">
    <mergeCell ref="A1:F1"/>
    <mergeCell ref="A2:F2"/>
    <mergeCell ref="A3:F3"/>
    <mergeCell ref="A5:F5"/>
    <mergeCell ref="A7:B7"/>
    <mergeCell ref="A15:B15"/>
  </mergeCells>
  <pageMargins left="0.26" right="0.15748031496062992" top="0.51181102362204722" bottom="0" header="0.35433070866141736" footer="0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18"/>
  <sheetViews>
    <sheetView zoomScale="95" zoomScaleNormal="95" workbookViewId="0">
      <selection sqref="A1:T1"/>
    </sheetView>
  </sheetViews>
  <sheetFormatPr defaultColWidth="9.28515625" defaultRowHeight="21"/>
  <cols>
    <col min="1" max="1" width="31.28515625" style="1" customWidth="1"/>
    <col min="2" max="2" width="16.42578125" style="1" customWidth="1"/>
    <col min="3" max="3" width="15" style="1" bestFit="1" customWidth="1"/>
    <col min="4" max="4" width="15.140625" style="1" bestFit="1" customWidth="1"/>
    <col min="5" max="5" width="14.85546875" style="1" bestFit="1" customWidth="1"/>
    <col min="6" max="6" width="16.28515625" style="1" bestFit="1" customWidth="1"/>
    <col min="7" max="7" width="6.85546875" style="1" bestFit="1" customWidth="1"/>
    <col min="8" max="8" width="8.28515625" style="1" bestFit="1" customWidth="1"/>
    <col min="9" max="9" width="14.7109375" style="1" bestFit="1" customWidth="1"/>
    <col min="10" max="10" width="16.28515625" style="1" bestFit="1" customWidth="1"/>
    <col min="11" max="11" width="14.7109375" style="1" bestFit="1" customWidth="1"/>
    <col min="12" max="13" width="15.140625" style="1" bestFit="1" customWidth="1"/>
    <col min="14" max="14" width="16.28515625" style="1" bestFit="1" customWidth="1"/>
    <col min="15" max="15" width="6.7109375" style="1" customWidth="1"/>
    <col min="16" max="16" width="8.28515625" style="1" bestFit="1" customWidth="1"/>
    <col min="17" max="17" width="14.7109375" style="1" bestFit="1" customWidth="1"/>
    <col min="18" max="18" width="9.7109375" style="1" customWidth="1"/>
    <col min="19" max="19" width="9.5703125" style="1" customWidth="1"/>
    <col min="20" max="20" width="12.5703125" style="1" customWidth="1"/>
    <col min="21" max="16384" width="9.28515625" style="1"/>
  </cols>
  <sheetData>
    <row r="1" spans="1:20" s="13" customFormat="1" ht="24">
      <c r="A1" s="544" t="s">
        <v>368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</row>
    <row r="2" spans="1:20" s="13" customFormat="1" ht="24">
      <c r="A2" s="12" t="s">
        <v>204</v>
      </c>
    </row>
    <row r="3" spans="1:20" s="13" customFormat="1" ht="22.5" thickBot="1">
      <c r="T3" s="3" t="s">
        <v>63</v>
      </c>
    </row>
    <row r="4" spans="1:20" s="13" customFormat="1" ht="21.75">
      <c r="A4" s="585" t="s">
        <v>297</v>
      </c>
      <c r="B4" s="586"/>
      <c r="C4" s="586"/>
      <c r="D4" s="586"/>
      <c r="E4" s="586"/>
      <c r="F4" s="586"/>
      <c r="G4" s="586"/>
      <c r="H4" s="586"/>
      <c r="I4" s="587"/>
      <c r="J4" s="588" t="s">
        <v>369</v>
      </c>
      <c r="K4" s="589"/>
      <c r="L4" s="589"/>
      <c r="M4" s="589"/>
      <c r="N4" s="589"/>
      <c r="O4" s="589"/>
      <c r="P4" s="589"/>
      <c r="Q4" s="590"/>
      <c r="R4" s="585" t="s">
        <v>70</v>
      </c>
      <c r="S4" s="586"/>
      <c r="T4" s="587"/>
    </row>
    <row r="5" spans="1:20" s="93" customFormat="1" ht="65.25">
      <c r="A5" s="92" t="s">
        <v>56</v>
      </c>
      <c r="B5" s="90" t="s">
        <v>68</v>
      </c>
      <c r="C5" s="90" t="s">
        <v>69</v>
      </c>
      <c r="D5" s="90" t="s">
        <v>24</v>
      </c>
      <c r="E5" s="90" t="s">
        <v>25</v>
      </c>
      <c r="F5" s="90" t="s">
        <v>26</v>
      </c>
      <c r="G5" s="90" t="s">
        <v>5</v>
      </c>
      <c r="H5" s="90" t="s">
        <v>6</v>
      </c>
      <c r="I5" s="91" t="s">
        <v>27</v>
      </c>
      <c r="J5" s="92" t="s">
        <v>68</v>
      </c>
      <c r="K5" s="90" t="s">
        <v>69</v>
      </c>
      <c r="L5" s="90" t="s">
        <v>24</v>
      </c>
      <c r="M5" s="90" t="s">
        <v>25</v>
      </c>
      <c r="N5" s="90" t="s">
        <v>26</v>
      </c>
      <c r="O5" s="90" t="s">
        <v>5</v>
      </c>
      <c r="P5" s="90" t="s">
        <v>6</v>
      </c>
      <c r="Q5" s="91" t="s">
        <v>27</v>
      </c>
      <c r="R5" s="92" t="s">
        <v>71</v>
      </c>
      <c r="S5" s="90" t="s">
        <v>72</v>
      </c>
      <c r="T5" s="91" t="s">
        <v>73</v>
      </c>
    </row>
    <row r="6" spans="1:20" s="36" customFormat="1" ht="21.75">
      <c r="A6" s="114" t="s">
        <v>149</v>
      </c>
      <c r="B6" s="533">
        <v>214058591.71000001</v>
      </c>
      <c r="C6" s="107">
        <v>39124415.649999991</v>
      </c>
      <c r="D6" s="107">
        <v>15362895.419999996</v>
      </c>
      <c r="E6" s="107">
        <v>43840362.550000012</v>
      </c>
      <c r="F6" s="107">
        <f>SUM(B6:E6)</f>
        <v>312386265.33000004</v>
      </c>
      <c r="G6" s="81">
        <v>1</v>
      </c>
      <c r="H6" s="81" t="s">
        <v>214</v>
      </c>
      <c r="I6" s="124">
        <f>F6/G6</f>
        <v>312386265.33000004</v>
      </c>
      <c r="J6" s="85">
        <v>235953028.38</v>
      </c>
      <c r="K6" s="85">
        <v>37044215.240000002</v>
      </c>
      <c r="L6" s="85">
        <v>15895196.32</v>
      </c>
      <c r="M6" s="85">
        <v>38800442.109999985</v>
      </c>
      <c r="N6" s="86">
        <f>SUM(J6:M6)</f>
        <v>327692882.04999995</v>
      </c>
      <c r="O6" s="81">
        <v>1</v>
      </c>
      <c r="P6" s="159" t="s">
        <v>214</v>
      </c>
      <c r="Q6" s="124">
        <f>N6/O6</f>
        <v>327692882.04999995</v>
      </c>
      <c r="R6" s="108">
        <f>(N6-F6)*100/F6</f>
        <v>4.8999006738757336</v>
      </c>
      <c r="S6" s="40">
        <f>(O6-G6)*100/G6</f>
        <v>0</v>
      </c>
      <c r="T6" s="124">
        <f>(Q6-I6)*100/I6</f>
        <v>4.8999006738757336</v>
      </c>
    </row>
    <row r="7" spans="1:20" s="13" customFormat="1" ht="21.75">
      <c r="A7" s="122" t="s">
        <v>57</v>
      </c>
      <c r="B7" s="97"/>
      <c r="C7" s="97"/>
      <c r="D7" s="97"/>
      <c r="E7" s="97"/>
      <c r="F7" s="97"/>
      <c r="G7" s="97"/>
      <c r="H7" s="97"/>
      <c r="I7" s="98"/>
      <c r="J7" s="109"/>
      <c r="K7" s="97"/>
      <c r="L7" s="97"/>
      <c r="M7" s="97"/>
      <c r="N7" s="97"/>
      <c r="O7" s="97"/>
      <c r="P7" s="97"/>
      <c r="Q7" s="98"/>
      <c r="R7" s="109"/>
      <c r="S7" s="97"/>
      <c r="T7" s="98"/>
    </row>
    <row r="8" spans="1:20" s="17" customFormat="1" ht="22.5" thickBot="1">
      <c r="A8" s="111" t="s">
        <v>26</v>
      </c>
      <c r="B8" s="104">
        <f t="shared" ref="B8:O8" si="0">SUM(B6:B7)</f>
        <v>214058591.71000001</v>
      </c>
      <c r="C8" s="104">
        <f t="shared" si="0"/>
        <v>39124415.649999991</v>
      </c>
      <c r="D8" s="104">
        <f t="shared" si="0"/>
        <v>15362895.419999996</v>
      </c>
      <c r="E8" s="104">
        <f t="shared" si="0"/>
        <v>43840362.550000012</v>
      </c>
      <c r="F8" s="104">
        <f t="shared" si="0"/>
        <v>312386265.33000004</v>
      </c>
      <c r="G8" s="54">
        <f>SUM(G6:G7)</f>
        <v>1</v>
      </c>
      <c r="H8" s="158" t="s">
        <v>214</v>
      </c>
      <c r="I8" s="112"/>
      <c r="J8" s="113">
        <f t="shared" si="0"/>
        <v>235953028.38</v>
      </c>
      <c r="K8" s="104">
        <f t="shared" si="0"/>
        <v>37044215.240000002</v>
      </c>
      <c r="L8" s="104">
        <f t="shared" si="0"/>
        <v>15895196.32</v>
      </c>
      <c r="M8" s="104">
        <f t="shared" si="0"/>
        <v>38800442.109999985</v>
      </c>
      <c r="N8" s="104">
        <f>SUM(J8:M8)</f>
        <v>327692882.04999995</v>
      </c>
      <c r="O8" s="54">
        <f t="shared" si="0"/>
        <v>1</v>
      </c>
      <c r="P8" s="158" t="s">
        <v>214</v>
      </c>
      <c r="Q8" s="104"/>
      <c r="R8" s="113"/>
      <c r="S8" s="104"/>
      <c r="T8" s="112"/>
    </row>
    <row r="9" spans="1:20" ht="21.75" thickTop="1">
      <c r="B9" s="156"/>
      <c r="D9" s="156"/>
      <c r="E9" s="156">
        <v>0</v>
      </c>
      <c r="F9" s="156"/>
      <c r="J9" s="156"/>
      <c r="K9" s="156"/>
      <c r="L9" s="156"/>
      <c r="M9" s="156"/>
      <c r="N9" s="156"/>
    </row>
    <row r="10" spans="1:20" s="13" customFormat="1" ht="21.75">
      <c r="A10" s="13" t="s">
        <v>0</v>
      </c>
    </row>
    <row r="11" spans="1:20" s="13" customFormat="1" ht="21.75">
      <c r="A11" s="89" t="s">
        <v>288</v>
      </c>
      <c r="B11" s="145" t="s">
        <v>409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</row>
    <row r="12" spans="1:20" s="13" customFormat="1" ht="21.75">
      <c r="A12" s="83"/>
      <c r="B12" s="200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</row>
    <row r="13" spans="1:20" s="13" customFormat="1" ht="21.75">
      <c r="A13" s="83"/>
      <c r="B13" s="200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  <row r="14" spans="1:20" s="13" customFormat="1" ht="21.75">
      <c r="A14" s="83"/>
      <c r="B14" s="200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</row>
    <row r="15" spans="1:20" s="13" customFormat="1" ht="21.75">
      <c r="A15" s="83"/>
      <c r="B15" s="200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20" s="36" customFormat="1" ht="21.75"/>
    <row r="17" s="36" customFormat="1" ht="21.75"/>
    <row r="18" s="13" customFormat="1" ht="21.75"/>
  </sheetData>
  <mergeCells count="4">
    <mergeCell ref="A1:T1"/>
    <mergeCell ref="A4:I4"/>
    <mergeCell ref="J4:Q4"/>
    <mergeCell ref="R4:T4"/>
  </mergeCells>
  <pageMargins left="0.511811023622047" right="0.35433070866141703" top="0.74803149606299202" bottom="0.511811023622047" header="0.511811023622047" footer="0.511811023622047"/>
  <pageSetup paperSize="9"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AB45"/>
  <sheetViews>
    <sheetView zoomScale="41" zoomScaleNormal="41" zoomScaleSheetLayoutView="51" workbookViewId="0">
      <selection activeCell="V26" sqref="V26"/>
    </sheetView>
  </sheetViews>
  <sheetFormatPr defaultColWidth="9.28515625" defaultRowHeight="21"/>
  <cols>
    <col min="1" max="1" width="9.28515625" style="1"/>
    <col min="2" max="2" width="35.7109375" style="1" customWidth="1"/>
    <col min="3" max="3" width="14.42578125" style="1" customWidth="1"/>
    <col min="4" max="4" width="13.5703125" style="1" customWidth="1"/>
    <col min="5" max="6" width="14.42578125" style="1" hidden="1" customWidth="1"/>
    <col min="7" max="7" width="14.7109375" style="1" bestFit="1" customWidth="1"/>
    <col min="8" max="8" width="13.7109375" style="1" bestFit="1" customWidth="1"/>
    <col min="9" max="9" width="14" style="1" bestFit="1" customWidth="1"/>
    <col min="10" max="10" width="13.28515625" style="1" customWidth="1"/>
    <col min="11" max="11" width="14" style="1" bestFit="1" customWidth="1"/>
    <col min="12" max="13" width="14.85546875" style="1" bestFit="1" customWidth="1"/>
    <col min="14" max="14" width="13.5703125" style="167" bestFit="1" customWidth="1"/>
    <col min="15" max="15" width="15.140625" style="1" hidden="1" customWidth="1"/>
    <col min="16" max="16" width="11.28515625" style="1" bestFit="1" customWidth="1"/>
    <col min="17" max="17" width="15.140625" style="1" bestFit="1" customWidth="1"/>
    <col min="18" max="18" width="13.7109375" style="167" bestFit="1" customWidth="1"/>
    <col min="19" max="19" width="14.5703125" style="1" bestFit="1" customWidth="1"/>
    <col min="20" max="21" width="14.42578125" style="1" bestFit="1" customWidth="1"/>
    <col min="22" max="22" width="14.7109375" style="1" bestFit="1" customWidth="1"/>
    <col min="23" max="23" width="10.42578125" style="1" customWidth="1"/>
    <col min="24" max="25" width="13.28515625" style="167" bestFit="1" customWidth="1"/>
    <col min="26" max="26" width="9.28515625" style="167"/>
    <col min="27" max="16384" width="9.28515625" style="1"/>
  </cols>
  <sheetData>
    <row r="1" spans="1:28" s="13" customFormat="1" ht="24">
      <c r="A1" s="544" t="s">
        <v>368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166"/>
    </row>
    <row r="2" spans="1:28" s="13" customFormat="1" ht="24">
      <c r="A2" s="12" t="s">
        <v>141</v>
      </c>
      <c r="N2" s="166"/>
      <c r="R2" s="166"/>
      <c r="X2" s="166"/>
      <c r="Y2" s="166"/>
      <c r="Z2" s="166"/>
    </row>
    <row r="3" spans="1:28" s="13" customFormat="1" ht="22.5" thickBot="1">
      <c r="N3" s="166"/>
      <c r="R3" s="166"/>
      <c r="X3" s="166"/>
      <c r="Y3" s="168" t="s">
        <v>63</v>
      </c>
      <c r="Z3" s="166"/>
    </row>
    <row r="4" spans="1:28" s="17" customFormat="1" ht="21.75">
      <c r="A4" s="606" t="s">
        <v>12</v>
      </c>
      <c r="B4" s="607"/>
      <c r="C4" s="612" t="s">
        <v>309</v>
      </c>
      <c r="D4" s="612"/>
      <c r="E4" s="612"/>
      <c r="F4" s="612"/>
      <c r="G4" s="612"/>
      <c r="H4" s="612"/>
      <c r="I4" s="612"/>
      <c r="J4" s="612"/>
      <c r="K4" s="612"/>
      <c r="L4" s="612"/>
      <c r="M4" s="613" t="s">
        <v>371</v>
      </c>
      <c r="N4" s="612"/>
      <c r="O4" s="612"/>
      <c r="P4" s="612"/>
      <c r="Q4" s="612"/>
      <c r="R4" s="612"/>
      <c r="S4" s="612"/>
      <c r="T4" s="612"/>
      <c r="U4" s="612"/>
      <c r="V4" s="614"/>
      <c r="W4" s="615" t="s">
        <v>70</v>
      </c>
      <c r="X4" s="616"/>
      <c r="Y4" s="617"/>
      <c r="Z4" s="487"/>
    </row>
    <row r="5" spans="1:28" s="17" customFormat="1" ht="21.75">
      <c r="A5" s="608"/>
      <c r="B5" s="609"/>
      <c r="C5" s="618" t="s">
        <v>77</v>
      </c>
      <c r="D5" s="618"/>
      <c r="E5" s="618"/>
      <c r="F5" s="618"/>
      <c r="G5" s="619"/>
      <c r="H5" s="620" t="s">
        <v>78</v>
      </c>
      <c r="I5" s="618"/>
      <c r="J5" s="618"/>
      <c r="K5" s="619"/>
      <c r="L5" s="621" t="s">
        <v>26</v>
      </c>
      <c r="M5" s="624" t="s">
        <v>77</v>
      </c>
      <c r="N5" s="618"/>
      <c r="O5" s="618"/>
      <c r="P5" s="618"/>
      <c r="Q5" s="619"/>
      <c r="R5" s="620" t="s">
        <v>78</v>
      </c>
      <c r="S5" s="618"/>
      <c r="T5" s="618"/>
      <c r="U5" s="619"/>
      <c r="V5" s="603" t="s">
        <v>26</v>
      </c>
      <c r="W5" s="534" t="s">
        <v>79</v>
      </c>
      <c r="X5" s="538" t="s">
        <v>79</v>
      </c>
      <c r="Y5" s="536" t="s">
        <v>79</v>
      </c>
      <c r="Z5" s="487"/>
      <c r="AB5" s="540"/>
    </row>
    <row r="6" spans="1:28" s="17" customFormat="1" ht="21.75">
      <c r="A6" s="608"/>
      <c r="B6" s="609"/>
      <c r="C6" s="139" t="s">
        <v>14</v>
      </c>
      <c r="D6" s="18" t="s">
        <v>14</v>
      </c>
      <c r="E6" s="18" t="s">
        <v>25</v>
      </c>
      <c r="F6" s="18" t="s">
        <v>85</v>
      </c>
      <c r="G6" s="19"/>
      <c r="H6" s="18" t="s">
        <v>14</v>
      </c>
      <c r="I6" s="18" t="s">
        <v>14</v>
      </c>
      <c r="J6" s="18" t="s">
        <v>66</v>
      </c>
      <c r="K6" s="19"/>
      <c r="L6" s="622"/>
      <c r="M6" s="128" t="s">
        <v>14</v>
      </c>
      <c r="N6" s="18" t="s">
        <v>14</v>
      </c>
      <c r="O6" s="18" t="s">
        <v>25</v>
      </c>
      <c r="P6" s="18" t="s">
        <v>85</v>
      </c>
      <c r="Q6" s="226"/>
      <c r="R6" s="18" t="s">
        <v>14</v>
      </c>
      <c r="S6" s="18" t="s">
        <v>14</v>
      </c>
      <c r="T6" s="18" t="s">
        <v>66</v>
      </c>
      <c r="U6" s="19"/>
      <c r="V6" s="604"/>
      <c r="W6" s="534" t="s">
        <v>80</v>
      </c>
      <c r="X6" s="20" t="s">
        <v>82</v>
      </c>
      <c r="Y6" s="126" t="s">
        <v>83</v>
      </c>
      <c r="Z6" s="487"/>
      <c r="AB6" s="540"/>
    </row>
    <row r="7" spans="1:28" s="17" customFormat="1" ht="21.75">
      <c r="A7" s="608"/>
      <c r="B7" s="609"/>
      <c r="C7" s="140" t="s">
        <v>15</v>
      </c>
      <c r="D7" s="21" t="s">
        <v>86</v>
      </c>
      <c r="E7" s="21" t="s">
        <v>171</v>
      </c>
      <c r="F7" s="21"/>
      <c r="G7" s="22" t="s">
        <v>16</v>
      </c>
      <c r="H7" s="21" t="s">
        <v>89</v>
      </c>
      <c r="I7" s="21" t="s">
        <v>18</v>
      </c>
      <c r="J7" s="21" t="s">
        <v>67</v>
      </c>
      <c r="K7" s="22" t="s">
        <v>16</v>
      </c>
      <c r="L7" s="622"/>
      <c r="M7" s="129" t="s">
        <v>15</v>
      </c>
      <c r="N7" s="21" t="s">
        <v>86</v>
      </c>
      <c r="O7" s="21" t="s">
        <v>171</v>
      </c>
      <c r="P7" s="21"/>
      <c r="Q7" s="225" t="s">
        <v>16</v>
      </c>
      <c r="R7" s="21" t="s">
        <v>89</v>
      </c>
      <c r="S7" s="21" t="s">
        <v>18</v>
      </c>
      <c r="T7" s="21" t="s">
        <v>67</v>
      </c>
      <c r="U7" s="22" t="s">
        <v>16</v>
      </c>
      <c r="V7" s="604"/>
      <c r="W7" s="534" t="s">
        <v>81</v>
      </c>
      <c r="X7" s="20" t="s">
        <v>81</v>
      </c>
      <c r="Y7" s="126" t="s">
        <v>81</v>
      </c>
      <c r="Z7" s="487"/>
      <c r="AB7" s="540"/>
    </row>
    <row r="8" spans="1:28" s="17" customFormat="1" ht="21.75">
      <c r="A8" s="610"/>
      <c r="B8" s="611"/>
      <c r="C8" s="141"/>
      <c r="D8" s="130"/>
      <c r="E8" s="130"/>
      <c r="F8" s="130"/>
      <c r="G8" s="24"/>
      <c r="H8" s="130" t="s">
        <v>19</v>
      </c>
      <c r="I8" s="130"/>
      <c r="J8" s="130" t="s">
        <v>90</v>
      </c>
      <c r="K8" s="24"/>
      <c r="L8" s="623"/>
      <c r="M8" s="131"/>
      <c r="N8" s="130"/>
      <c r="O8" s="130"/>
      <c r="P8" s="130"/>
      <c r="Q8" s="227"/>
      <c r="R8" s="130" t="s">
        <v>19</v>
      </c>
      <c r="S8" s="130"/>
      <c r="T8" s="130" t="s">
        <v>90</v>
      </c>
      <c r="U8" s="24"/>
      <c r="V8" s="605"/>
      <c r="W8" s="535"/>
      <c r="X8" s="539"/>
      <c r="Y8" s="537"/>
      <c r="Z8" s="487"/>
      <c r="AB8" s="541"/>
    </row>
    <row r="9" spans="1:28" s="13" customFormat="1" ht="21.75">
      <c r="A9" s="601" t="s">
        <v>3</v>
      </c>
      <c r="B9" s="602"/>
      <c r="C9" s="63"/>
      <c r="D9" s="25"/>
      <c r="E9" s="25"/>
      <c r="F9" s="25"/>
      <c r="G9" s="26"/>
      <c r="H9" s="25"/>
      <c r="I9" s="25"/>
      <c r="J9" s="25"/>
      <c r="K9" s="26"/>
      <c r="L9" s="132"/>
      <c r="M9" s="63"/>
      <c r="N9" s="228"/>
      <c r="O9" s="25"/>
      <c r="P9" s="25"/>
      <c r="Q9" s="26"/>
      <c r="R9" s="228"/>
      <c r="S9" s="25"/>
      <c r="T9" s="25"/>
      <c r="U9" s="26"/>
      <c r="V9" s="132"/>
      <c r="W9" s="177"/>
      <c r="X9" s="178"/>
      <c r="Y9" s="179"/>
      <c r="Z9" s="166"/>
    </row>
    <row r="10" spans="1:28" s="2" customFormat="1" ht="24">
      <c r="A10" s="597" t="s">
        <v>29</v>
      </c>
      <c r="B10" s="598"/>
      <c r="C10" s="142">
        <v>15829637.470000003</v>
      </c>
      <c r="D10" s="27">
        <v>0</v>
      </c>
      <c r="E10" s="27">
        <v>0</v>
      </c>
      <c r="F10" s="27">
        <v>0</v>
      </c>
      <c r="G10" s="28">
        <v>15829637.470000003</v>
      </c>
      <c r="H10" s="224">
        <v>294642.59999999998</v>
      </c>
      <c r="I10" s="224">
        <v>37060</v>
      </c>
      <c r="J10" s="224">
        <v>1681448.25</v>
      </c>
      <c r="K10" s="152">
        <f>SUM(H10:J10)</f>
        <v>2013150.85</v>
      </c>
      <c r="L10" s="185">
        <f>G10+K10</f>
        <v>17842788.320000004</v>
      </c>
      <c r="M10" s="142">
        <v>16218437.58</v>
      </c>
      <c r="N10" s="224">
        <v>0</v>
      </c>
      <c r="O10" s="224">
        <f>'ตารางที่ 2-62'!F8</f>
        <v>0</v>
      </c>
      <c r="P10" s="224">
        <v>0</v>
      </c>
      <c r="Q10" s="152">
        <f>SUM(M10:P10)</f>
        <v>16218437.58</v>
      </c>
      <c r="R10" s="224">
        <v>239416.45</v>
      </c>
      <c r="S10" s="27">
        <v>1000</v>
      </c>
      <c r="T10" s="27">
        <v>642426.9</v>
      </c>
      <c r="U10" s="152">
        <f>SUM(R10:T10)</f>
        <v>882843.35000000009</v>
      </c>
      <c r="V10" s="133">
        <f>Q10+U10</f>
        <v>17101280.93</v>
      </c>
      <c r="W10" s="180">
        <f>(Q10-G10)/G10*100</f>
        <v>2.4561529645694247</v>
      </c>
      <c r="X10" s="181">
        <f>(U10-K10)/K10*100</f>
        <v>-56.146189939020218</v>
      </c>
      <c r="Y10" s="182">
        <f t="shared" ref="X10:Y19" si="0">(V10-L10)/L10*100</f>
        <v>-4.1557820263374854</v>
      </c>
      <c r="Z10" s="238"/>
    </row>
    <row r="11" spans="1:28" s="2" customFormat="1" ht="24">
      <c r="A11" s="597" t="s">
        <v>30</v>
      </c>
      <c r="B11" s="598"/>
      <c r="C11" s="142">
        <v>13720571.450000003</v>
      </c>
      <c r="D11" s="27">
        <v>129210</v>
      </c>
      <c r="E11" s="27">
        <v>0</v>
      </c>
      <c r="F11" s="27">
        <v>0</v>
      </c>
      <c r="G11" s="28">
        <v>13849781.450000003</v>
      </c>
      <c r="H11" s="224">
        <v>441570.66999999993</v>
      </c>
      <c r="I11" s="224">
        <v>85158.8</v>
      </c>
      <c r="J11" s="224">
        <v>947991.28</v>
      </c>
      <c r="K11" s="152">
        <f t="shared" ref="K11:K25" si="1">SUM(H11:J11)</f>
        <v>1474720.75</v>
      </c>
      <c r="L11" s="185">
        <f>G11+K11</f>
        <v>15324502.200000003</v>
      </c>
      <c r="M11" s="142">
        <v>14375172.799999999</v>
      </c>
      <c r="N11" s="224">
        <v>0</v>
      </c>
      <c r="O11" s="224">
        <f>'ตารางที่ 2-62'!F9</f>
        <v>0</v>
      </c>
      <c r="P11" s="224">
        <v>0</v>
      </c>
      <c r="Q11" s="152">
        <f t="shared" ref="Q11:Q25" si="2">SUM(M11:P11)</f>
        <v>14375172.799999999</v>
      </c>
      <c r="R11" s="224">
        <v>135427.42000000001</v>
      </c>
      <c r="S11" s="27">
        <v>232182.32</v>
      </c>
      <c r="T11" s="27">
        <v>598918.8899999999</v>
      </c>
      <c r="U11" s="152">
        <f t="shared" ref="U11:U19" si="3">SUM(R11:T11)</f>
        <v>966528.62999999989</v>
      </c>
      <c r="V11" s="133">
        <f t="shared" ref="V11:V19" si="4">Q11+U11</f>
        <v>15341701.43</v>
      </c>
      <c r="W11" s="180">
        <f t="shared" ref="W11:W19" si="5">(Q11-G11)/G11*100</f>
        <v>3.7934992107763241</v>
      </c>
      <c r="X11" s="181">
        <f>(U11-K11)/K11*100</f>
        <v>-34.460227131136527</v>
      </c>
      <c r="Y11" s="182">
        <f t="shared" si="0"/>
        <v>0.11223353147482153</v>
      </c>
      <c r="Z11" s="238"/>
    </row>
    <row r="12" spans="1:28" s="2" customFormat="1" ht="24">
      <c r="A12" s="597" t="s">
        <v>28</v>
      </c>
      <c r="B12" s="598"/>
      <c r="C12" s="142">
        <v>13591179.470000001</v>
      </c>
      <c r="D12" s="27">
        <v>104883.44</v>
      </c>
      <c r="E12" s="27">
        <v>0</v>
      </c>
      <c r="F12" s="27">
        <v>0</v>
      </c>
      <c r="G12" s="28">
        <v>13696062.91</v>
      </c>
      <c r="H12" s="224">
        <v>132667.23000000001</v>
      </c>
      <c r="I12" s="224">
        <v>0</v>
      </c>
      <c r="J12" s="224">
        <v>543604.84</v>
      </c>
      <c r="K12" s="152">
        <f t="shared" si="1"/>
        <v>676272.07</v>
      </c>
      <c r="L12" s="185">
        <f t="shared" ref="L12:L25" si="6">G12+K12</f>
        <v>14372334.98</v>
      </c>
      <c r="M12" s="142">
        <v>14432172.039999999</v>
      </c>
      <c r="N12" s="224">
        <v>0</v>
      </c>
      <c r="O12" s="224">
        <f>'ตารางที่ 2-62'!F10</f>
        <v>0</v>
      </c>
      <c r="P12" s="224">
        <v>0</v>
      </c>
      <c r="Q12" s="152">
        <f t="shared" si="2"/>
        <v>14432172.039999999</v>
      </c>
      <c r="R12" s="224">
        <v>1582573.85</v>
      </c>
      <c r="S12" s="27">
        <v>10200</v>
      </c>
      <c r="T12" s="27">
        <v>1482210.29</v>
      </c>
      <c r="U12" s="152">
        <f t="shared" si="3"/>
        <v>3074984.14</v>
      </c>
      <c r="V12" s="133">
        <f t="shared" si="4"/>
        <v>17507156.18</v>
      </c>
      <c r="W12" s="180">
        <f t="shared" si="5"/>
        <v>5.3746038904548143</v>
      </c>
      <c r="X12" s="181">
        <f t="shared" si="0"/>
        <v>354.69630883913339</v>
      </c>
      <c r="Y12" s="182">
        <f t="shared" si="0"/>
        <v>21.811495518037244</v>
      </c>
      <c r="Z12" s="238"/>
    </row>
    <row r="13" spans="1:28" s="2" customFormat="1" ht="24">
      <c r="A13" s="597" t="s">
        <v>142</v>
      </c>
      <c r="B13" s="598"/>
      <c r="C13" s="142">
        <v>7551721.4900000002</v>
      </c>
      <c r="D13" s="27">
        <v>0</v>
      </c>
      <c r="E13" s="27">
        <v>0</v>
      </c>
      <c r="F13" s="27">
        <v>0</v>
      </c>
      <c r="G13" s="28">
        <v>7551721.4900000002</v>
      </c>
      <c r="H13" s="224">
        <v>2115998.3100000005</v>
      </c>
      <c r="I13" s="224">
        <v>3405</v>
      </c>
      <c r="J13" s="224">
        <v>259183.14</v>
      </c>
      <c r="K13" s="152">
        <f t="shared" si="1"/>
        <v>2378586.4500000007</v>
      </c>
      <c r="L13" s="185">
        <f t="shared" si="6"/>
        <v>9930307.9400000013</v>
      </c>
      <c r="M13" s="142">
        <v>7580646</v>
      </c>
      <c r="N13" s="224">
        <v>0</v>
      </c>
      <c r="O13" s="224">
        <f>'ตารางที่ 2-62'!F11</f>
        <v>0</v>
      </c>
      <c r="P13" s="224">
        <v>0</v>
      </c>
      <c r="Q13" s="152">
        <f t="shared" si="2"/>
        <v>7580646</v>
      </c>
      <c r="R13" s="224">
        <v>1627338.16</v>
      </c>
      <c r="S13" s="27">
        <v>202776.88999999998</v>
      </c>
      <c r="T13" s="27">
        <v>243018.67</v>
      </c>
      <c r="U13" s="152">
        <f t="shared" si="3"/>
        <v>2073133.7199999997</v>
      </c>
      <c r="V13" s="133">
        <f t="shared" si="4"/>
        <v>9653779.7199999988</v>
      </c>
      <c r="W13" s="180">
        <f t="shared" si="5"/>
        <v>0.38301875987219142</v>
      </c>
      <c r="X13" s="181">
        <f t="shared" si="0"/>
        <v>-12.841775416655587</v>
      </c>
      <c r="Y13" s="182">
        <f t="shared" si="0"/>
        <v>-2.7846892731908826</v>
      </c>
      <c r="Z13" s="238"/>
    </row>
    <row r="14" spans="1:28" s="2" customFormat="1" ht="24">
      <c r="A14" s="597" t="s">
        <v>31</v>
      </c>
      <c r="B14" s="598"/>
      <c r="C14" s="142">
        <v>12664362.279999999</v>
      </c>
      <c r="D14" s="27">
        <v>0</v>
      </c>
      <c r="E14" s="27">
        <v>0</v>
      </c>
      <c r="F14" s="27">
        <v>0</v>
      </c>
      <c r="G14" s="28">
        <v>12664362.279999999</v>
      </c>
      <c r="H14" s="224">
        <v>1635287.08</v>
      </c>
      <c r="I14" s="224">
        <v>155458.99</v>
      </c>
      <c r="J14" s="224">
        <v>660671.30000000005</v>
      </c>
      <c r="K14" s="152">
        <f t="shared" si="1"/>
        <v>2451417.37</v>
      </c>
      <c r="L14" s="185">
        <f t="shared" si="6"/>
        <v>15115779.649999999</v>
      </c>
      <c r="M14" s="142">
        <v>10757927.41</v>
      </c>
      <c r="N14" s="224">
        <v>0</v>
      </c>
      <c r="O14" s="224">
        <f>'ตารางที่ 2-62'!F12</f>
        <v>0</v>
      </c>
      <c r="P14" s="224">
        <v>0</v>
      </c>
      <c r="Q14" s="152">
        <f t="shared" si="2"/>
        <v>10757927.41</v>
      </c>
      <c r="R14" s="224">
        <v>1486330</v>
      </c>
      <c r="S14" s="27">
        <v>28464.62</v>
      </c>
      <c r="T14" s="27">
        <v>1298342.81</v>
      </c>
      <c r="U14" s="152">
        <f t="shared" si="3"/>
        <v>2813137.43</v>
      </c>
      <c r="V14" s="133">
        <f t="shared" si="4"/>
        <v>13571064.84</v>
      </c>
      <c r="W14" s="180">
        <f t="shared" si="5"/>
        <v>-15.053540224529957</v>
      </c>
      <c r="X14" s="181">
        <f t="shared" si="0"/>
        <v>14.755547726252752</v>
      </c>
      <c r="Y14" s="182">
        <f t="shared" si="0"/>
        <v>-10.219220217330959</v>
      </c>
      <c r="Z14" s="238"/>
    </row>
    <row r="15" spans="1:28" s="2" customFormat="1" ht="24">
      <c r="A15" s="597" t="s">
        <v>32</v>
      </c>
      <c r="B15" s="598"/>
      <c r="C15" s="142">
        <v>10403252.25</v>
      </c>
      <c r="D15" s="27">
        <v>2580129.06</v>
      </c>
      <c r="E15" s="27">
        <v>0</v>
      </c>
      <c r="F15" s="27">
        <v>0</v>
      </c>
      <c r="G15" s="28">
        <v>12983381.310000001</v>
      </c>
      <c r="H15" s="224">
        <v>264723.45999999996</v>
      </c>
      <c r="I15" s="224">
        <v>961307.79</v>
      </c>
      <c r="J15" s="224">
        <v>4536281.93</v>
      </c>
      <c r="K15" s="152">
        <f t="shared" si="1"/>
        <v>5762313.1799999997</v>
      </c>
      <c r="L15" s="185">
        <f t="shared" si="6"/>
        <v>18745694.490000002</v>
      </c>
      <c r="M15" s="142">
        <v>9915558.9199999999</v>
      </c>
      <c r="N15" s="224">
        <v>645248.39</v>
      </c>
      <c r="O15" s="224">
        <f>'ตารางที่ 2-62'!F13</f>
        <v>0</v>
      </c>
      <c r="P15" s="224">
        <v>0</v>
      </c>
      <c r="Q15" s="152">
        <f t="shared" si="2"/>
        <v>10560807.310000001</v>
      </c>
      <c r="R15" s="224">
        <f>1048379.67-N15</f>
        <v>403131.28</v>
      </c>
      <c r="S15" s="27">
        <v>160764.49</v>
      </c>
      <c r="T15" s="27">
        <v>2418300.4299999997</v>
      </c>
      <c r="U15" s="152">
        <f t="shared" si="3"/>
        <v>2982196.1999999997</v>
      </c>
      <c r="V15" s="133">
        <f>Q15+U15</f>
        <v>13543003.51</v>
      </c>
      <c r="W15" s="180">
        <f t="shared" si="5"/>
        <v>-18.659037597040275</v>
      </c>
      <c r="X15" s="181">
        <f t="shared" si="0"/>
        <v>-48.246544281024313</v>
      </c>
      <c r="Y15" s="182">
        <f t="shared" si="0"/>
        <v>-27.75405831336581</v>
      </c>
      <c r="Z15" s="238"/>
    </row>
    <row r="16" spans="1:28" s="2" customFormat="1" ht="24">
      <c r="A16" s="597" t="s">
        <v>33</v>
      </c>
      <c r="B16" s="598"/>
      <c r="C16" s="142">
        <v>12192373.390000001</v>
      </c>
      <c r="D16" s="27">
        <v>0</v>
      </c>
      <c r="E16" s="27">
        <v>0</v>
      </c>
      <c r="F16" s="27">
        <v>0</v>
      </c>
      <c r="G16" s="28">
        <v>12192373.390000001</v>
      </c>
      <c r="H16" s="224">
        <v>1736092.36</v>
      </c>
      <c r="I16" s="224">
        <v>9222300.9699999988</v>
      </c>
      <c r="J16" s="224">
        <v>1464416.01</v>
      </c>
      <c r="K16" s="152">
        <f t="shared" si="1"/>
        <v>12422809.339999998</v>
      </c>
      <c r="L16" s="185">
        <f t="shared" si="6"/>
        <v>24615182.729999997</v>
      </c>
      <c r="M16" s="142">
        <v>14119843.709999999</v>
      </c>
      <c r="N16" s="224">
        <v>0</v>
      </c>
      <c r="O16" s="224">
        <f>'ตารางที่ 2-62'!F14</f>
        <v>0</v>
      </c>
      <c r="P16" s="224">
        <v>0</v>
      </c>
      <c r="Q16" s="152">
        <f t="shared" si="2"/>
        <v>14119843.709999999</v>
      </c>
      <c r="R16" s="224">
        <v>10480</v>
      </c>
      <c r="S16" s="27">
        <v>8304593.0099999998</v>
      </c>
      <c r="T16" s="27">
        <v>27756992.799999997</v>
      </c>
      <c r="U16" s="152">
        <f t="shared" si="3"/>
        <v>36072065.809999995</v>
      </c>
      <c r="V16" s="133">
        <f t="shared" si="4"/>
        <v>50191909.519999996</v>
      </c>
      <c r="W16" s="180">
        <f t="shared" si="5"/>
        <v>15.808819647706002</v>
      </c>
      <c r="X16" s="181">
        <f t="shared" si="0"/>
        <v>190.3696323652988</v>
      </c>
      <c r="Y16" s="182">
        <f t="shared" si="0"/>
        <v>103.90630478167489</v>
      </c>
      <c r="Z16" s="238"/>
    </row>
    <row r="17" spans="1:26" s="2" customFormat="1" ht="24">
      <c r="A17" s="597" t="s">
        <v>34</v>
      </c>
      <c r="B17" s="598"/>
      <c r="C17" s="142">
        <v>27158766.949999999</v>
      </c>
      <c r="D17" s="27">
        <v>0</v>
      </c>
      <c r="E17" s="27">
        <v>0</v>
      </c>
      <c r="F17" s="27">
        <v>0</v>
      </c>
      <c r="G17" s="28">
        <v>27158766.949999999</v>
      </c>
      <c r="H17" s="224">
        <v>0</v>
      </c>
      <c r="I17" s="224">
        <v>0</v>
      </c>
      <c r="J17" s="224">
        <v>7377348.2800000003</v>
      </c>
      <c r="K17" s="152">
        <f t="shared" si="1"/>
        <v>7377348.2800000003</v>
      </c>
      <c r="L17" s="185">
        <f t="shared" si="6"/>
        <v>34536115.229999997</v>
      </c>
      <c r="M17" s="142">
        <v>25728831.019999996</v>
      </c>
      <c r="N17" s="224">
        <v>0</v>
      </c>
      <c r="O17" s="224">
        <f>'ตารางที่ 2-62'!F15</f>
        <v>0</v>
      </c>
      <c r="P17" s="224">
        <v>430798.35</v>
      </c>
      <c r="Q17" s="152">
        <f t="shared" si="2"/>
        <v>26159629.369999997</v>
      </c>
      <c r="R17" s="224">
        <v>0</v>
      </c>
      <c r="S17" s="27">
        <v>500245.14</v>
      </c>
      <c r="T17" s="27">
        <v>6178112.75</v>
      </c>
      <c r="U17" s="152">
        <f t="shared" si="3"/>
        <v>6678357.8899999997</v>
      </c>
      <c r="V17" s="133">
        <f>Q17+U17</f>
        <v>32837987.259999998</v>
      </c>
      <c r="W17" s="180">
        <f t="shared" si="5"/>
        <v>-3.6788768129254192</v>
      </c>
      <c r="X17" s="181">
        <f t="shared" si="0"/>
        <v>-9.4748189114910613</v>
      </c>
      <c r="Y17" s="182">
        <f t="shared" si="0"/>
        <v>-4.9169628914282466</v>
      </c>
      <c r="Z17" s="238"/>
    </row>
    <row r="18" spans="1:26" s="2" customFormat="1" ht="24">
      <c r="A18" s="597" t="s">
        <v>35</v>
      </c>
      <c r="B18" s="598"/>
      <c r="C18" s="142">
        <v>6519663.9900000002</v>
      </c>
      <c r="D18" s="27">
        <v>0</v>
      </c>
      <c r="E18" s="27">
        <v>0</v>
      </c>
      <c r="F18" s="27">
        <v>0</v>
      </c>
      <c r="G18" s="28">
        <v>6519663.9900000002</v>
      </c>
      <c r="H18" s="224">
        <v>47660</v>
      </c>
      <c r="I18" s="224">
        <v>222120.37</v>
      </c>
      <c r="J18" s="224">
        <v>241337.22</v>
      </c>
      <c r="K18" s="152">
        <f t="shared" si="1"/>
        <v>511117.58999999997</v>
      </c>
      <c r="L18" s="185">
        <f>G18+K18</f>
        <v>7030781.5800000001</v>
      </c>
      <c r="M18" s="142">
        <v>6904326.9699999997</v>
      </c>
      <c r="N18" s="224">
        <v>0</v>
      </c>
      <c r="O18" s="224">
        <f>'ตารางที่ 2-62'!F16</f>
        <v>0</v>
      </c>
      <c r="P18" s="224">
        <v>0</v>
      </c>
      <c r="Q18" s="152">
        <f t="shared" si="2"/>
        <v>6904326.9699999997</v>
      </c>
      <c r="R18" s="224">
        <v>8404</v>
      </c>
      <c r="S18" s="27">
        <v>235186.09000000003</v>
      </c>
      <c r="T18" s="27">
        <v>650711.30000000005</v>
      </c>
      <c r="U18" s="152">
        <f t="shared" si="3"/>
        <v>894301.39000000013</v>
      </c>
      <c r="V18" s="133">
        <f t="shared" si="4"/>
        <v>7798628.3599999994</v>
      </c>
      <c r="W18" s="180">
        <f t="shared" si="5"/>
        <v>5.9000430174009546</v>
      </c>
      <c r="X18" s="181">
        <f t="shared" si="0"/>
        <v>74.969793154643753</v>
      </c>
      <c r="Y18" s="182">
        <f t="shared" si="0"/>
        <v>10.92121510621582</v>
      </c>
      <c r="Z18" s="238"/>
    </row>
    <row r="19" spans="1:26" s="2" customFormat="1" ht="24">
      <c r="A19" s="477" t="s">
        <v>172</v>
      </c>
      <c r="B19" s="146"/>
      <c r="C19" s="142">
        <v>11937797.460000001</v>
      </c>
      <c r="D19" s="27">
        <v>0</v>
      </c>
      <c r="E19" s="27">
        <v>0</v>
      </c>
      <c r="F19" s="27">
        <v>0</v>
      </c>
      <c r="G19" s="28">
        <v>11937797.460000001</v>
      </c>
      <c r="H19" s="224">
        <v>4152877.2300000004</v>
      </c>
      <c r="I19" s="224">
        <v>172861.13999999998</v>
      </c>
      <c r="J19" s="224">
        <v>3426914.75</v>
      </c>
      <c r="K19" s="152">
        <f t="shared" si="1"/>
        <v>7752653.1200000001</v>
      </c>
      <c r="L19" s="185">
        <f t="shared" si="6"/>
        <v>19690450.580000002</v>
      </c>
      <c r="M19" s="142">
        <v>11270882.799999999</v>
      </c>
      <c r="N19" s="224">
        <v>0</v>
      </c>
      <c r="O19" s="224">
        <f>'ตารางที่ 2-62'!F17</f>
        <v>0</v>
      </c>
      <c r="P19" s="224">
        <v>0</v>
      </c>
      <c r="Q19" s="152">
        <f t="shared" si="2"/>
        <v>11270882.799999999</v>
      </c>
      <c r="R19" s="224">
        <v>4767416.8999999994</v>
      </c>
      <c r="S19" s="27">
        <v>195647.62</v>
      </c>
      <c r="T19" s="27">
        <v>2946781.36</v>
      </c>
      <c r="U19" s="152">
        <f t="shared" si="3"/>
        <v>7909845.879999999</v>
      </c>
      <c r="V19" s="133">
        <f t="shared" si="4"/>
        <v>19180728.68</v>
      </c>
      <c r="W19" s="180">
        <f t="shared" si="5"/>
        <v>-5.5865804578661526</v>
      </c>
      <c r="X19" s="181">
        <f t="shared" si="0"/>
        <v>2.0275995529127822</v>
      </c>
      <c r="Y19" s="182">
        <f t="shared" si="0"/>
        <v>-2.5886756523374701</v>
      </c>
      <c r="Z19" s="238"/>
    </row>
    <row r="20" spans="1:26" s="2" customFormat="1" ht="24">
      <c r="A20" s="601" t="s">
        <v>9</v>
      </c>
      <c r="B20" s="602"/>
      <c r="C20" s="164"/>
      <c r="D20" s="27"/>
      <c r="E20" s="27"/>
      <c r="F20" s="27"/>
      <c r="G20" s="28"/>
      <c r="H20" s="224"/>
      <c r="I20" s="224"/>
      <c r="J20" s="224"/>
      <c r="K20" s="152"/>
      <c r="L20" s="185"/>
      <c r="M20" s="251"/>
      <c r="N20" s="224"/>
      <c r="O20" s="224"/>
      <c r="P20" s="253"/>
      <c r="Q20" s="152"/>
      <c r="R20" s="253"/>
      <c r="S20" s="224"/>
      <c r="T20" s="224"/>
      <c r="U20" s="152"/>
      <c r="V20" s="133"/>
      <c r="W20" s="183"/>
      <c r="X20" s="184"/>
      <c r="Y20" s="185"/>
      <c r="Z20" s="238"/>
    </row>
    <row r="21" spans="1:26" s="2" customFormat="1" ht="24">
      <c r="A21" s="595" t="s">
        <v>60</v>
      </c>
      <c r="B21" s="596"/>
      <c r="C21" s="142">
        <v>27012149.969999991</v>
      </c>
      <c r="D21" s="27">
        <v>0</v>
      </c>
      <c r="E21" s="27">
        <v>0</v>
      </c>
      <c r="F21" s="27">
        <v>0</v>
      </c>
      <c r="G21" s="28">
        <v>27012149.969999991</v>
      </c>
      <c r="H21" s="224">
        <v>6011182.7199999997</v>
      </c>
      <c r="I21" s="224">
        <v>0</v>
      </c>
      <c r="J21" s="224">
        <v>2645025.98</v>
      </c>
      <c r="K21" s="152">
        <f t="shared" si="1"/>
        <v>8656208.6999999993</v>
      </c>
      <c r="L21" s="185">
        <f t="shared" si="6"/>
        <v>35668358.669999987</v>
      </c>
      <c r="M21" s="142">
        <v>27255510.79999999</v>
      </c>
      <c r="N21" s="224">
        <v>282240</v>
      </c>
      <c r="O21" s="224">
        <f>'ตารางที่ 2-62'!F19</f>
        <v>0</v>
      </c>
      <c r="P21" s="224">
        <v>0</v>
      </c>
      <c r="Q21" s="152">
        <f>SUM(M21:P21)</f>
        <v>27537750.79999999</v>
      </c>
      <c r="R21" s="224">
        <f>5888849.58-N21</f>
        <v>5606609.5800000001</v>
      </c>
      <c r="S21" s="27">
        <v>183115.00000000003</v>
      </c>
      <c r="T21" s="27">
        <v>2698963.9599999995</v>
      </c>
      <c r="U21" s="28">
        <f>SUM(R21:T21)</f>
        <v>8488688.5399999991</v>
      </c>
      <c r="V21" s="133">
        <f>Q21+U21</f>
        <v>36026439.339999989</v>
      </c>
      <c r="W21" s="180">
        <f t="shared" ref="W21:W26" si="7">(Q21-G21)/G21*100</f>
        <v>1.9457941355417345</v>
      </c>
      <c r="X21" s="181">
        <f t="shared" ref="X21:Y26" si="8">(U21-K21)/K21*100</f>
        <v>-1.9352601792052468</v>
      </c>
      <c r="Y21" s="182">
        <f t="shared" si="8"/>
        <v>1.0039168701675556</v>
      </c>
      <c r="Z21" s="238"/>
    </row>
    <row r="22" spans="1:26" s="2" customFormat="1" ht="24">
      <c r="A22" s="597" t="s">
        <v>58</v>
      </c>
      <c r="B22" s="598"/>
      <c r="C22" s="142">
        <v>6908595.9500000002</v>
      </c>
      <c r="D22" s="27">
        <v>0</v>
      </c>
      <c r="E22" s="27">
        <v>0</v>
      </c>
      <c r="F22" s="27">
        <v>0</v>
      </c>
      <c r="G22" s="28">
        <v>6908595.9500000002</v>
      </c>
      <c r="H22" s="224">
        <v>224700</v>
      </c>
      <c r="I22" s="224">
        <v>0</v>
      </c>
      <c r="J22" s="224">
        <v>10541215.779999999</v>
      </c>
      <c r="K22" s="152">
        <f>SUM(H22:J22)</f>
        <v>10765915.779999999</v>
      </c>
      <c r="L22" s="185">
        <f t="shared" si="6"/>
        <v>17674511.73</v>
      </c>
      <c r="M22" s="142">
        <v>6018652.3799999999</v>
      </c>
      <c r="N22" s="224">
        <v>0</v>
      </c>
      <c r="O22" s="224">
        <f>'ตารางที่ 2-62'!F20</f>
        <v>0</v>
      </c>
      <c r="P22" s="224">
        <v>0</v>
      </c>
      <c r="Q22" s="152">
        <f t="shared" si="2"/>
        <v>6018652.3799999999</v>
      </c>
      <c r="R22" s="224">
        <v>20800</v>
      </c>
      <c r="S22" s="27">
        <v>1760</v>
      </c>
      <c r="T22" s="27">
        <v>10738461.039999999</v>
      </c>
      <c r="U22" s="28">
        <f>SUM(R22:T22)</f>
        <v>10761021.039999999</v>
      </c>
      <c r="V22" s="133">
        <f>Q22+U22</f>
        <v>16779673.419999998</v>
      </c>
      <c r="W22" s="180">
        <f t="shared" si="7"/>
        <v>-12.881685026029063</v>
      </c>
      <c r="X22" s="181">
        <f t="shared" si="8"/>
        <v>-4.5465152245508497E-2</v>
      </c>
      <c r="Y22" s="182">
        <f t="shared" si="8"/>
        <v>-5.0628742885221554</v>
      </c>
      <c r="Z22" s="238"/>
    </row>
    <row r="23" spans="1:26" s="2" customFormat="1" ht="24">
      <c r="A23" s="597" t="s">
        <v>59</v>
      </c>
      <c r="B23" s="598"/>
      <c r="C23" s="142">
        <v>2900281.31</v>
      </c>
      <c r="D23" s="27">
        <v>0</v>
      </c>
      <c r="E23" s="27">
        <v>0</v>
      </c>
      <c r="F23" s="27">
        <v>0</v>
      </c>
      <c r="G23" s="28">
        <v>2900281.31</v>
      </c>
      <c r="H23" s="224">
        <v>20200</v>
      </c>
      <c r="I23" s="224">
        <v>0</v>
      </c>
      <c r="J23" s="224">
        <v>305163.24</v>
      </c>
      <c r="K23" s="152">
        <f t="shared" si="1"/>
        <v>325363.24</v>
      </c>
      <c r="L23" s="185">
        <f t="shared" si="6"/>
        <v>3225644.55</v>
      </c>
      <c r="M23" s="142">
        <v>2612130</v>
      </c>
      <c r="N23" s="224">
        <v>0</v>
      </c>
      <c r="O23" s="224">
        <f>'ตารางที่ 2-62'!F21</f>
        <v>0</v>
      </c>
      <c r="P23" s="224">
        <v>0</v>
      </c>
      <c r="Q23" s="152">
        <f t="shared" si="2"/>
        <v>2612130</v>
      </c>
      <c r="R23" s="224">
        <v>5700</v>
      </c>
      <c r="S23" s="27">
        <v>0</v>
      </c>
      <c r="T23" s="27">
        <v>284865.28000000003</v>
      </c>
      <c r="U23" s="28">
        <f>SUM(R23:T23)</f>
        <v>290565.28000000003</v>
      </c>
      <c r="V23" s="133">
        <f>Q23+U23</f>
        <v>2902695.2800000003</v>
      </c>
      <c r="W23" s="180">
        <f t="shared" si="7"/>
        <v>-9.9352883117396651</v>
      </c>
      <c r="X23" s="181">
        <f t="shared" si="8"/>
        <v>-10.69511110105738</v>
      </c>
      <c r="Y23" s="182">
        <f t="shared" si="8"/>
        <v>-10.011929863753883</v>
      </c>
      <c r="Z23" s="238"/>
    </row>
    <row r="24" spans="1:26" s="2" customFormat="1" ht="24">
      <c r="A24" s="597" t="s">
        <v>61</v>
      </c>
      <c r="B24" s="598"/>
      <c r="C24" s="142">
        <v>1129060.95</v>
      </c>
      <c r="D24" s="27">
        <v>0</v>
      </c>
      <c r="E24" s="27">
        <v>0</v>
      </c>
      <c r="F24" s="27">
        <v>0</v>
      </c>
      <c r="G24" s="28">
        <v>1129060.95</v>
      </c>
      <c r="H24" s="224">
        <v>0</v>
      </c>
      <c r="I24" s="224">
        <v>0</v>
      </c>
      <c r="J24" s="224">
        <v>3251.52</v>
      </c>
      <c r="K24" s="152">
        <f t="shared" si="1"/>
        <v>3251.52</v>
      </c>
      <c r="L24" s="185">
        <f t="shared" si="6"/>
        <v>1132312.47</v>
      </c>
      <c r="M24" s="142">
        <v>1208335.3400000001</v>
      </c>
      <c r="N24" s="224">
        <v>0</v>
      </c>
      <c r="O24" s="224">
        <f>'ตารางที่ 2-62'!F22</f>
        <v>0</v>
      </c>
      <c r="P24" s="224">
        <v>0</v>
      </c>
      <c r="Q24" s="152">
        <f t="shared" si="2"/>
        <v>1208335.3400000001</v>
      </c>
      <c r="R24" s="224">
        <v>0</v>
      </c>
      <c r="S24" s="27">
        <v>0</v>
      </c>
      <c r="T24" s="27">
        <v>20984.99</v>
      </c>
      <c r="U24" s="28">
        <f>SUM(R24:T24)</f>
        <v>20984.99</v>
      </c>
      <c r="V24" s="133">
        <f>Q24+U24</f>
        <v>1229320.33</v>
      </c>
      <c r="W24" s="180">
        <f t="shared" si="7"/>
        <v>7.0212675409596024</v>
      </c>
      <c r="X24" s="181">
        <f>(U24-K24)/K24*100</f>
        <v>545.39015598858384</v>
      </c>
      <c r="Y24" s="182">
        <f t="shared" si="8"/>
        <v>8.5672340957262527</v>
      </c>
      <c r="Z24" s="238"/>
    </row>
    <row r="25" spans="1:26" s="2" customFormat="1" ht="24">
      <c r="A25" s="597" t="s">
        <v>104</v>
      </c>
      <c r="B25" s="598"/>
      <c r="C25" s="143">
        <v>3461660.26</v>
      </c>
      <c r="D25" s="134">
        <v>0</v>
      </c>
      <c r="E25" s="134">
        <v>0</v>
      </c>
      <c r="F25" s="134">
        <v>0</v>
      </c>
      <c r="G25" s="28">
        <v>3461660.26</v>
      </c>
      <c r="H25" s="237">
        <v>26429</v>
      </c>
      <c r="I25" s="237">
        <v>0</v>
      </c>
      <c r="J25" s="237">
        <v>398056.32</v>
      </c>
      <c r="K25" s="152">
        <f t="shared" si="1"/>
        <v>424485.32</v>
      </c>
      <c r="L25" s="185">
        <f t="shared" si="6"/>
        <v>3886145.5799999996</v>
      </c>
      <c r="M25" s="142">
        <v>3096091.51</v>
      </c>
      <c r="N25" s="224">
        <v>0</v>
      </c>
      <c r="O25" s="224">
        <f>'ตารางที่ 2-62'!F23</f>
        <v>0</v>
      </c>
      <c r="P25" s="224">
        <v>0</v>
      </c>
      <c r="Q25" s="152">
        <f t="shared" si="2"/>
        <v>3096091.51</v>
      </c>
      <c r="R25" s="224">
        <v>48920</v>
      </c>
      <c r="S25" s="27">
        <v>0</v>
      </c>
      <c r="T25" s="27">
        <v>425156.69</v>
      </c>
      <c r="U25" s="28">
        <f>SUM(R25:T25)</f>
        <v>474076.69</v>
      </c>
      <c r="V25" s="133">
        <f>Q25+U25</f>
        <v>3570168.1999999997</v>
      </c>
      <c r="W25" s="180">
        <f t="shared" si="7"/>
        <v>-10.560503415780035</v>
      </c>
      <c r="X25" s="181">
        <f t="shared" si="8"/>
        <v>11.682705540912462</v>
      </c>
      <c r="Y25" s="182">
        <f t="shared" si="8"/>
        <v>-8.1308683242895885</v>
      </c>
      <c r="Z25" s="238"/>
    </row>
    <row r="26" spans="1:26" s="7" customFormat="1" ht="24.75" thickBot="1">
      <c r="A26" s="599" t="s">
        <v>26</v>
      </c>
      <c r="B26" s="600"/>
      <c r="C26" s="144">
        <f>SUM(C10:C25)</f>
        <v>172981074.63999999</v>
      </c>
      <c r="D26" s="32">
        <f>SUM(D10:D25)</f>
        <v>2814222.5</v>
      </c>
      <c r="E26" s="32">
        <f>SUM(E10:E25)</f>
        <v>0</v>
      </c>
      <c r="F26" s="32"/>
      <c r="G26" s="32">
        <f>SUM(G10:G25)</f>
        <v>175795297.13999999</v>
      </c>
      <c r="H26" s="32">
        <f>SUM(H10:H25)</f>
        <v>17104030.66</v>
      </c>
      <c r="I26" s="32">
        <f>SUM(I10:I25)</f>
        <v>10859673.059999999</v>
      </c>
      <c r="J26" s="32">
        <f>SUM(J10:J25)</f>
        <v>35031909.840000004</v>
      </c>
      <c r="K26" s="32">
        <f>SUM(K10:K25)</f>
        <v>62995613.56000001</v>
      </c>
      <c r="L26" s="135">
        <f>G26+K26</f>
        <v>238790910.69999999</v>
      </c>
      <c r="M26" s="144">
        <f>SUM(M10:M25)</f>
        <v>171494519.27999997</v>
      </c>
      <c r="N26" s="186">
        <f t="shared" ref="N26:U26" si="9">SUM(N10:N25)</f>
        <v>927488.39</v>
      </c>
      <c r="O26" s="32">
        <f t="shared" si="9"/>
        <v>0</v>
      </c>
      <c r="P26" s="32">
        <f t="shared" si="9"/>
        <v>430798.35</v>
      </c>
      <c r="Q26" s="32">
        <f t="shared" si="9"/>
        <v>172852806.01999998</v>
      </c>
      <c r="R26" s="186">
        <f t="shared" si="9"/>
        <v>15942547.639999999</v>
      </c>
      <c r="S26" s="32">
        <f t="shared" si="9"/>
        <v>10055935.18</v>
      </c>
      <c r="T26" s="32">
        <f t="shared" si="9"/>
        <v>58384248.159999996</v>
      </c>
      <c r="U26" s="32">
        <f t="shared" si="9"/>
        <v>84382730.979999974</v>
      </c>
      <c r="V26" s="135">
        <f>SUM(V10:V25)</f>
        <v>257235536.99999997</v>
      </c>
      <c r="W26" s="186">
        <f t="shared" si="7"/>
        <v>-1.6738167447429846</v>
      </c>
      <c r="X26" s="187">
        <f t="shared" si="8"/>
        <v>33.950169244132944</v>
      </c>
      <c r="Y26" s="188">
        <f t="shared" si="8"/>
        <v>7.7241743607119568</v>
      </c>
      <c r="Z26" s="488"/>
    </row>
    <row r="27" spans="1:26" s="13" customFormat="1" ht="22.5" thickTop="1">
      <c r="C27" s="77"/>
      <c r="D27" s="77"/>
      <c r="E27" s="77"/>
      <c r="F27" s="77"/>
      <c r="G27" s="77"/>
      <c r="H27" s="77"/>
      <c r="I27" s="77"/>
      <c r="J27" s="77"/>
      <c r="K27" s="77"/>
      <c r="L27" s="77"/>
      <c r="N27" s="166"/>
      <c r="R27" s="166"/>
      <c r="V27" s="148"/>
      <c r="X27" s="166"/>
      <c r="Y27" s="166"/>
      <c r="Z27" s="166"/>
    </row>
    <row r="28" spans="1:26" s="13" customFormat="1" ht="21.75">
      <c r="A28" s="13" t="s">
        <v>53</v>
      </c>
      <c r="B28" s="13" t="s">
        <v>165</v>
      </c>
      <c r="J28" s="136"/>
      <c r="M28" s="34"/>
      <c r="N28" s="234"/>
      <c r="O28" s="34"/>
      <c r="P28" s="34"/>
      <c r="Q28" s="34"/>
      <c r="R28" s="234"/>
      <c r="S28" s="34"/>
      <c r="V28" s="148"/>
      <c r="X28" s="166"/>
      <c r="Y28" s="166"/>
      <c r="Z28" s="166"/>
    </row>
    <row r="29" spans="1:26" s="13" customFormat="1" ht="21.75">
      <c r="B29" s="13" t="s">
        <v>166</v>
      </c>
      <c r="N29" s="166"/>
      <c r="R29" s="166"/>
      <c r="X29" s="166"/>
      <c r="Y29" s="166"/>
      <c r="Z29" s="166"/>
    </row>
    <row r="31" spans="1:26" s="13" customFormat="1" ht="21.75">
      <c r="B31" s="13" t="s">
        <v>167</v>
      </c>
      <c r="N31" s="166"/>
      <c r="R31" s="166"/>
      <c r="X31" s="166"/>
      <c r="Y31" s="166"/>
      <c r="Z31" s="166"/>
    </row>
    <row r="32" spans="1:26" s="191" customFormat="1" ht="21.75">
      <c r="B32" s="303" t="s">
        <v>313</v>
      </c>
      <c r="C32" s="218" t="s">
        <v>84</v>
      </c>
      <c r="D32" s="594" t="s">
        <v>414</v>
      </c>
      <c r="E32" s="594"/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166"/>
      <c r="Z32" s="192"/>
    </row>
    <row r="33" spans="2:26" s="196" customFormat="1" ht="21.75">
      <c r="B33" s="199" t="s">
        <v>410</v>
      </c>
      <c r="C33" s="89" t="s">
        <v>84</v>
      </c>
      <c r="D33" s="594" t="s">
        <v>415</v>
      </c>
      <c r="E33" s="594"/>
      <c r="F33" s="594"/>
      <c r="G33" s="594"/>
      <c r="H33" s="594"/>
      <c r="I33" s="594"/>
      <c r="J33" s="594"/>
      <c r="K33" s="594"/>
      <c r="L33" s="594"/>
      <c r="M33" s="594"/>
      <c r="N33" s="594"/>
      <c r="O33" s="594"/>
      <c r="P33" s="594"/>
      <c r="Q33" s="594"/>
      <c r="R33" s="594"/>
      <c r="S33" s="594"/>
      <c r="T33" s="594"/>
      <c r="U33" s="594"/>
      <c r="V33" s="594"/>
      <c r="W33" s="594"/>
      <c r="X33" s="594"/>
      <c r="Y33" s="167"/>
      <c r="Z33" s="197"/>
    </row>
    <row r="34" spans="2:26" s="196" customFormat="1" ht="21.75">
      <c r="B34" s="199" t="s">
        <v>258</v>
      </c>
      <c r="C34" s="89" t="s">
        <v>84</v>
      </c>
      <c r="D34" s="594" t="s">
        <v>412</v>
      </c>
      <c r="E34" s="594"/>
      <c r="F34" s="594"/>
      <c r="G34" s="594"/>
      <c r="H34" s="594"/>
      <c r="I34" s="594"/>
      <c r="J34" s="594"/>
      <c r="K34" s="594"/>
      <c r="L34" s="594"/>
      <c r="M34" s="594"/>
      <c r="N34" s="594"/>
      <c r="O34" s="594"/>
      <c r="P34" s="594"/>
      <c r="Q34" s="594"/>
      <c r="R34" s="594"/>
      <c r="S34" s="594"/>
      <c r="T34" s="594"/>
      <c r="U34" s="594"/>
      <c r="V34" s="594"/>
      <c r="W34" s="594"/>
      <c r="X34" s="594"/>
      <c r="Y34" s="167"/>
      <c r="Z34" s="197"/>
    </row>
    <row r="35" spans="2:26" ht="21.75">
      <c r="B35" s="199" t="s">
        <v>411</v>
      </c>
      <c r="C35" s="89" t="s">
        <v>84</v>
      </c>
      <c r="D35" s="145" t="s">
        <v>416</v>
      </c>
      <c r="E35" s="145"/>
      <c r="F35" s="145"/>
      <c r="G35" s="201"/>
      <c r="H35" s="201"/>
      <c r="I35" s="201"/>
      <c r="J35" s="201"/>
      <c r="K35" s="201"/>
      <c r="L35" s="201"/>
      <c r="M35" s="201"/>
      <c r="N35" s="223"/>
      <c r="O35" s="201"/>
      <c r="P35" s="201"/>
      <c r="Q35" s="201"/>
      <c r="R35" s="223"/>
      <c r="S35" s="201"/>
      <c r="T35" s="201"/>
      <c r="U35" s="201"/>
      <c r="V35" s="201"/>
      <c r="W35" s="201"/>
      <c r="X35" s="223"/>
    </row>
    <row r="36" spans="2:26" ht="21.75">
      <c r="B36" s="199" t="s">
        <v>388</v>
      </c>
      <c r="C36" s="89" t="s">
        <v>84</v>
      </c>
      <c r="D36" s="145" t="s">
        <v>413</v>
      </c>
      <c r="E36" s="145"/>
      <c r="F36" s="145"/>
      <c r="G36" s="201"/>
      <c r="H36" s="201"/>
      <c r="I36" s="201"/>
      <c r="J36" s="201"/>
      <c r="K36" s="201"/>
      <c r="L36" s="201"/>
      <c r="M36" s="201"/>
      <c r="N36" s="223"/>
      <c r="O36" s="201"/>
      <c r="P36" s="201"/>
      <c r="Q36" s="201"/>
      <c r="R36" s="223"/>
      <c r="S36" s="201"/>
      <c r="T36" s="201"/>
      <c r="U36" s="201"/>
      <c r="V36" s="201"/>
      <c r="W36" s="201"/>
      <c r="X36" s="223"/>
    </row>
    <row r="37" spans="2:26" ht="21.75">
      <c r="B37" s="199" t="s">
        <v>312</v>
      </c>
      <c r="C37" s="89" t="s">
        <v>84</v>
      </c>
      <c r="D37" s="145" t="s">
        <v>480</v>
      </c>
      <c r="E37" s="145"/>
      <c r="F37" s="145"/>
      <c r="G37" s="201"/>
      <c r="H37" s="201"/>
      <c r="I37" s="201"/>
      <c r="J37" s="201"/>
      <c r="K37" s="201"/>
      <c r="L37" s="201"/>
      <c r="M37" s="201"/>
      <c r="N37" s="223"/>
      <c r="O37" s="201"/>
      <c r="P37" s="201"/>
      <c r="Q37" s="201"/>
      <c r="R37" s="223"/>
      <c r="S37" s="201"/>
      <c r="T37" s="201"/>
      <c r="U37" s="201"/>
      <c r="V37" s="201"/>
      <c r="W37" s="201"/>
      <c r="X37" s="223"/>
    </row>
    <row r="38" spans="2:26" ht="21.75">
      <c r="B38" s="199" t="s">
        <v>259</v>
      </c>
      <c r="C38" s="89" t="s">
        <v>84</v>
      </c>
      <c r="D38" s="145" t="s">
        <v>417</v>
      </c>
      <c r="E38" s="145"/>
      <c r="F38" s="145"/>
      <c r="G38" s="201"/>
      <c r="H38" s="201"/>
      <c r="I38" s="201"/>
      <c r="J38" s="201"/>
      <c r="K38" s="201"/>
      <c r="L38" s="201"/>
      <c r="M38" s="201"/>
      <c r="N38" s="223"/>
      <c r="O38" s="201"/>
      <c r="P38" s="201"/>
      <c r="Q38" s="201"/>
      <c r="R38" s="223"/>
      <c r="S38" s="201"/>
      <c r="T38" s="201"/>
      <c r="U38" s="201"/>
      <c r="V38" s="201"/>
      <c r="W38" s="201"/>
      <c r="X38" s="223"/>
    </row>
    <row r="39" spans="2:26" ht="21.75">
      <c r="D39" s="36"/>
      <c r="E39" s="36"/>
      <c r="F39" s="36"/>
      <c r="G39" s="542"/>
      <c r="H39" s="542"/>
      <c r="I39" s="542"/>
      <c r="J39" s="542"/>
      <c r="K39" s="542"/>
      <c r="L39" s="542"/>
      <c r="M39" s="542"/>
      <c r="N39" s="543"/>
      <c r="O39" s="542"/>
      <c r="P39" s="542"/>
      <c r="Q39" s="542"/>
      <c r="R39" s="543"/>
      <c r="S39" s="542"/>
      <c r="T39" s="542"/>
      <c r="U39" s="542"/>
      <c r="V39" s="542"/>
      <c r="W39" s="542"/>
      <c r="X39" s="543"/>
      <c r="Y39" s="543"/>
    </row>
    <row r="40" spans="2:26">
      <c r="R40" s="229"/>
    </row>
    <row r="41" spans="2:26">
      <c r="R41" s="229"/>
    </row>
    <row r="42" spans="2:26">
      <c r="R42" s="229"/>
    </row>
    <row r="43" spans="2:26">
      <c r="R43" s="229"/>
    </row>
    <row r="44" spans="2:26">
      <c r="R44" s="221"/>
    </row>
    <row r="45" spans="2:26">
      <c r="R45" s="230"/>
    </row>
  </sheetData>
  <mergeCells count="31">
    <mergeCell ref="A1:Y1"/>
    <mergeCell ref="A4:B8"/>
    <mergeCell ref="C4:L4"/>
    <mergeCell ref="M4:V4"/>
    <mergeCell ref="W4:Y4"/>
    <mergeCell ref="C5:G5"/>
    <mergeCell ref="H5:K5"/>
    <mergeCell ref="L5:L8"/>
    <mergeCell ref="M5:Q5"/>
    <mergeCell ref="R5:U5"/>
    <mergeCell ref="V5:V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D34:X34"/>
    <mergeCell ref="A21:B21"/>
    <mergeCell ref="A22:B22"/>
    <mergeCell ref="A23:B23"/>
    <mergeCell ref="A24:B24"/>
    <mergeCell ref="A25:B25"/>
    <mergeCell ref="A26:B26"/>
    <mergeCell ref="D32:X32"/>
    <mergeCell ref="D33:X33"/>
  </mergeCells>
  <pageMargins left="0.19685039370078741" right="0.19685039370078741" top="0.51181102362204722" bottom="0.51181102362204722" header="0.51181102362204722" footer="0.51181102362204722"/>
  <pageSetup paperSize="9" scale="4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P29"/>
  <sheetViews>
    <sheetView zoomScale="91" zoomScaleNormal="91" workbookViewId="0">
      <selection activeCell="G21" sqref="G21"/>
    </sheetView>
  </sheetViews>
  <sheetFormatPr defaultColWidth="9.28515625" defaultRowHeight="21"/>
  <cols>
    <col min="1" max="1" width="9.28515625" style="1"/>
    <col min="2" max="2" width="37.28515625" style="1" customWidth="1"/>
    <col min="3" max="3" width="14.28515625" style="1" customWidth="1"/>
    <col min="4" max="4" width="17.85546875" style="1" customWidth="1"/>
    <col min="5" max="5" width="14.5703125" style="1" bestFit="1" customWidth="1"/>
    <col min="6" max="6" width="14" style="167" bestFit="1" customWidth="1"/>
    <col min="7" max="8" width="14.28515625" style="167" bestFit="1" customWidth="1"/>
    <col min="9" max="9" width="12.28515625" style="1" bestFit="1" customWidth="1"/>
    <col min="10" max="10" width="10.28515625" style="1" customWidth="1"/>
    <col min="11" max="11" width="14.28515625" style="1" customWidth="1"/>
    <col min="12" max="12" width="9.28515625" style="1"/>
    <col min="13" max="13" width="13" style="1" customWidth="1"/>
    <col min="14" max="14" width="12.28515625" style="1" bestFit="1" customWidth="1"/>
    <col min="15" max="16" width="15" style="1" bestFit="1" customWidth="1"/>
    <col min="17" max="16384" width="9.28515625" style="1"/>
  </cols>
  <sheetData>
    <row r="1" spans="1:16" s="13" customFormat="1" ht="24">
      <c r="A1" s="544" t="s">
        <v>368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</row>
    <row r="2" spans="1:16" s="13" customFormat="1" ht="24">
      <c r="A2" s="12" t="s">
        <v>140</v>
      </c>
      <c r="F2" s="166"/>
      <c r="G2" s="166"/>
      <c r="H2" s="166"/>
    </row>
    <row r="3" spans="1:16" s="13" customFormat="1" ht="22.5" thickBot="1">
      <c r="F3" s="166"/>
      <c r="G3" s="166"/>
      <c r="H3" s="166"/>
      <c r="K3" s="3" t="s">
        <v>63</v>
      </c>
    </row>
    <row r="4" spans="1:16" s="17" customFormat="1" ht="21.75">
      <c r="A4" s="606" t="s">
        <v>93</v>
      </c>
      <c r="B4" s="607"/>
      <c r="C4" s="612" t="s">
        <v>308</v>
      </c>
      <c r="D4" s="612"/>
      <c r="E4" s="614"/>
      <c r="F4" s="612" t="s">
        <v>372</v>
      </c>
      <c r="G4" s="612"/>
      <c r="H4" s="614"/>
      <c r="I4" s="615" t="s">
        <v>70</v>
      </c>
      <c r="J4" s="616"/>
      <c r="K4" s="617"/>
    </row>
    <row r="5" spans="1:16" s="17" customFormat="1" ht="21.75">
      <c r="A5" s="608"/>
      <c r="B5" s="609"/>
      <c r="C5" s="631" t="s">
        <v>77</v>
      </c>
      <c r="D5" s="551" t="s">
        <v>78</v>
      </c>
      <c r="E5" s="629" t="s">
        <v>16</v>
      </c>
      <c r="F5" s="631" t="s">
        <v>77</v>
      </c>
      <c r="G5" s="551" t="s">
        <v>78</v>
      </c>
      <c r="H5" s="629" t="s">
        <v>16</v>
      </c>
      <c r="I5" s="125" t="s">
        <v>79</v>
      </c>
      <c r="J5" s="20" t="s">
        <v>79</v>
      </c>
      <c r="K5" s="126" t="s">
        <v>79</v>
      </c>
    </row>
    <row r="6" spans="1:16" s="17" customFormat="1" ht="21.75">
      <c r="A6" s="608"/>
      <c r="B6" s="609"/>
      <c r="C6" s="632"/>
      <c r="D6" s="552"/>
      <c r="E6" s="630"/>
      <c r="F6" s="632"/>
      <c r="G6" s="552"/>
      <c r="H6" s="630"/>
      <c r="I6" s="125" t="s">
        <v>80</v>
      </c>
      <c r="J6" s="20" t="s">
        <v>82</v>
      </c>
      <c r="K6" s="126" t="s">
        <v>83</v>
      </c>
    </row>
    <row r="7" spans="1:16" s="17" customFormat="1" ht="21.75">
      <c r="A7" s="610"/>
      <c r="B7" s="611"/>
      <c r="C7" s="632"/>
      <c r="D7" s="552"/>
      <c r="E7" s="630"/>
      <c r="F7" s="632"/>
      <c r="G7" s="552"/>
      <c r="H7" s="630"/>
      <c r="I7" s="125" t="s">
        <v>81</v>
      </c>
      <c r="J7" s="20" t="s">
        <v>81</v>
      </c>
      <c r="K7" s="126" t="s">
        <v>81</v>
      </c>
    </row>
    <row r="8" spans="1:16" s="2" customFormat="1" ht="24">
      <c r="A8" s="625" t="s">
        <v>87</v>
      </c>
      <c r="B8" s="626"/>
      <c r="C8" s="231">
        <v>17260932.300000001</v>
      </c>
      <c r="D8" s="210">
        <v>0</v>
      </c>
      <c r="E8" s="232">
        <f>SUM(C8:D8)</f>
        <v>17260932.300000001</v>
      </c>
      <c r="F8" s="231">
        <v>17811118.509999998</v>
      </c>
      <c r="G8" s="210">
        <v>0</v>
      </c>
      <c r="H8" s="232">
        <f t="shared" ref="H8:H13" si="0">SUM(F8:G8)</f>
        <v>17811118.509999998</v>
      </c>
      <c r="I8" s="127">
        <f>(F8-C8)/C8*100</f>
        <v>3.1874651985049329</v>
      </c>
      <c r="J8" s="127">
        <v>0</v>
      </c>
      <c r="K8" s="189">
        <f t="shared" ref="K8:K14" si="1">(H8-E8)/E8*100</f>
        <v>3.1874651985049329</v>
      </c>
      <c r="M8" s="8"/>
      <c r="N8" s="8"/>
      <c r="O8" s="8"/>
      <c r="P8" s="8"/>
    </row>
    <row r="9" spans="1:16" s="2" customFormat="1" ht="24">
      <c r="A9" s="625" t="s">
        <v>2</v>
      </c>
      <c r="B9" s="626"/>
      <c r="C9" s="231">
        <v>0</v>
      </c>
      <c r="D9" s="210">
        <v>648687.56000000006</v>
      </c>
      <c r="E9" s="232">
        <v>648687.56000000006</v>
      </c>
      <c r="F9" s="231">
        <v>0</v>
      </c>
      <c r="G9" s="210">
        <v>9000.0000000000018</v>
      </c>
      <c r="H9" s="232">
        <f t="shared" si="0"/>
        <v>9000.0000000000018</v>
      </c>
      <c r="I9" s="127">
        <v>0</v>
      </c>
      <c r="J9" s="127">
        <f>(G9-D9)/D9*100</f>
        <v>-98.612583228819744</v>
      </c>
      <c r="K9" s="189">
        <f t="shared" si="1"/>
        <v>-98.612583228819744</v>
      </c>
    </row>
    <row r="10" spans="1:16" s="2" customFormat="1" ht="24">
      <c r="A10" s="625" t="s">
        <v>139</v>
      </c>
      <c r="B10" s="626"/>
      <c r="C10" s="231">
        <v>0</v>
      </c>
      <c r="D10" s="210">
        <v>26525</v>
      </c>
      <c r="E10" s="232">
        <v>26525</v>
      </c>
      <c r="F10" s="231">
        <v>0</v>
      </c>
      <c r="G10" s="210">
        <f>'ตารางที่ 2-62'!K24</f>
        <v>0</v>
      </c>
      <c r="H10" s="232">
        <f t="shared" si="0"/>
        <v>0</v>
      </c>
      <c r="I10" s="127">
        <v>0</v>
      </c>
      <c r="J10" s="127">
        <f>(G10-D10)/D10*100</f>
        <v>-100</v>
      </c>
      <c r="K10" s="189">
        <f t="shared" si="1"/>
        <v>-100</v>
      </c>
    </row>
    <row r="11" spans="1:16" s="2" customFormat="1" ht="24">
      <c r="A11" s="625" t="s">
        <v>201</v>
      </c>
      <c r="B11" s="626"/>
      <c r="C11" s="231">
        <v>0</v>
      </c>
      <c r="D11" s="210">
        <v>11787563.26</v>
      </c>
      <c r="E11" s="232">
        <v>11787563.26</v>
      </c>
      <c r="F11" s="231">
        <v>0</v>
      </c>
      <c r="G11" s="210">
        <v>13836654.43</v>
      </c>
      <c r="H11" s="232">
        <f t="shared" si="0"/>
        <v>13836654.43</v>
      </c>
      <c r="I11" s="127">
        <v>0</v>
      </c>
      <c r="J11" s="127">
        <f>(G11-D11)/D11*100</f>
        <v>17.383500939107581</v>
      </c>
      <c r="K11" s="189">
        <f t="shared" si="1"/>
        <v>17.383500939107581</v>
      </c>
    </row>
    <row r="12" spans="1:16" s="2" customFormat="1" ht="24">
      <c r="A12" s="625" t="s">
        <v>88</v>
      </c>
      <c r="B12" s="626"/>
      <c r="C12" s="231">
        <v>43840362.549999997</v>
      </c>
      <c r="D12" s="210">
        <v>0</v>
      </c>
      <c r="E12" s="232">
        <v>43840362.549999997</v>
      </c>
      <c r="F12" s="231">
        <v>38800442.109999999</v>
      </c>
      <c r="G12" s="210">
        <v>0</v>
      </c>
      <c r="H12" s="232">
        <f t="shared" si="0"/>
        <v>38800442.109999999</v>
      </c>
      <c r="I12" s="127">
        <f>(F12-C12)/C12*100</f>
        <v>-11.496073816114</v>
      </c>
      <c r="J12" s="127">
        <v>0</v>
      </c>
      <c r="K12" s="189">
        <f t="shared" si="1"/>
        <v>-11.496073816114</v>
      </c>
    </row>
    <row r="13" spans="1:16" s="2" customFormat="1" ht="24">
      <c r="A13" s="625" t="s">
        <v>210</v>
      </c>
      <c r="B13" s="626"/>
      <c r="C13" s="209">
        <v>31283.96</v>
      </c>
      <c r="D13" s="209">
        <v>0</v>
      </c>
      <c r="E13" s="232">
        <v>31283.96</v>
      </c>
      <c r="F13" s="209">
        <v>130.00000000000003</v>
      </c>
      <c r="G13" s="209">
        <v>0</v>
      </c>
      <c r="H13" s="232">
        <f t="shared" si="0"/>
        <v>130.00000000000003</v>
      </c>
      <c r="I13" s="127">
        <f>(F13-C13)/C13*100</f>
        <v>-99.584451584773788</v>
      </c>
      <c r="J13" s="127">
        <v>0</v>
      </c>
      <c r="K13" s="189">
        <f t="shared" si="1"/>
        <v>-99.584451584773788</v>
      </c>
    </row>
    <row r="14" spans="1:16" s="7" customFormat="1" ht="24.75" thickBot="1">
      <c r="A14" s="627" t="s">
        <v>26</v>
      </c>
      <c r="B14" s="628"/>
      <c r="C14" s="138">
        <f t="shared" ref="C14:H14" si="2">SUM(C8:C13)</f>
        <v>61132578.809999995</v>
      </c>
      <c r="D14" s="138">
        <f t="shared" si="2"/>
        <v>12462775.82</v>
      </c>
      <c r="E14" s="138">
        <f t="shared" si="2"/>
        <v>73595354.62999998</v>
      </c>
      <c r="F14" s="233">
        <f t="shared" si="2"/>
        <v>56611690.619999997</v>
      </c>
      <c r="G14" s="220">
        <f t="shared" si="2"/>
        <v>13845654.43</v>
      </c>
      <c r="H14" s="173">
        <f t="shared" si="2"/>
        <v>70457345.049999997</v>
      </c>
      <c r="I14" s="113">
        <f>(F14-C14)/C14*100</f>
        <v>-7.3952191744616478</v>
      </c>
      <c r="J14" s="104">
        <f>(G14-D14)/D14*100</f>
        <v>11.09607225527386</v>
      </c>
      <c r="K14" s="173">
        <f t="shared" si="1"/>
        <v>-4.2638690930647725</v>
      </c>
    </row>
    <row r="15" spans="1:16" s="13" customFormat="1" ht="9.75" customHeight="1" thickTop="1">
      <c r="C15" s="77"/>
      <c r="D15" s="77"/>
      <c r="E15" s="77"/>
      <c r="F15" s="166"/>
      <c r="G15" s="166"/>
      <c r="H15" s="166"/>
    </row>
    <row r="16" spans="1:16" s="13" customFormat="1" ht="21.75">
      <c r="A16" s="13" t="s">
        <v>168</v>
      </c>
      <c r="B16" s="13" t="s">
        <v>165</v>
      </c>
      <c r="F16" s="234"/>
      <c r="G16" s="234"/>
      <c r="H16" s="234"/>
      <c r="I16" s="34"/>
      <c r="K16" s="77"/>
    </row>
    <row r="17" spans="2:11" s="13" customFormat="1" ht="21.75">
      <c r="B17" s="13" t="s">
        <v>166</v>
      </c>
      <c r="F17" s="166"/>
      <c r="G17" s="166"/>
      <c r="H17" s="166"/>
    </row>
    <row r="18" spans="2:11" ht="12" customHeight="1"/>
    <row r="19" spans="2:11" s="13" customFormat="1" ht="21.75">
      <c r="B19" s="13" t="s">
        <v>1</v>
      </c>
      <c r="F19" s="166"/>
      <c r="G19" s="166"/>
      <c r="H19" s="166"/>
    </row>
    <row r="20" spans="2:11" s="13" customFormat="1" ht="21.75">
      <c r="B20" s="147" t="s">
        <v>423</v>
      </c>
      <c r="C20" s="89" t="s">
        <v>84</v>
      </c>
      <c r="D20" s="236" t="s">
        <v>424</v>
      </c>
      <c r="E20" s="145"/>
      <c r="F20" s="222"/>
      <c r="G20" s="222"/>
      <c r="H20" s="222"/>
      <c r="I20" s="145"/>
      <c r="J20" s="145"/>
      <c r="K20" s="145"/>
    </row>
    <row r="21" spans="2:11" s="13" customFormat="1" ht="21.75">
      <c r="B21" s="147"/>
      <c r="C21" s="89"/>
      <c r="D21" s="236" t="s">
        <v>425</v>
      </c>
      <c r="E21" s="145"/>
      <c r="F21" s="222"/>
      <c r="G21" s="222"/>
      <c r="H21" s="222"/>
      <c r="I21" s="145"/>
      <c r="J21" s="145"/>
      <c r="K21" s="145"/>
    </row>
    <row r="22" spans="2:11" s="13" customFormat="1" ht="21.75">
      <c r="B22" s="147" t="s">
        <v>418</v>
      </c>
      <c r="C22" s="89" t="s">
        <v>84</v>
      </c>
      <c r="D22" s="236" t="s">
        <v>420</v>
      </c>
      <c r="E22" s="145"/>
      <c r="F22" s="222"/>
      <c r="G22" s="222"/>
      <c r="H22" s="222"/>
      <c r="I22" s="145"/>
      <c r="J22" s="145"/>
      <c r="K22" s="145"/>
    </row>
    <row r="23" spans="2:11" s="13" customFormat="1" ht="21.75">
      <c r="B23" s="147" t="s">
        <v>419</v>
      </c>
      <c r="C23" s="89" t="s">
        <v>84</v>
      </c>
      <c r="D23" s="145" t="s">
        <v>421</v>
      </c>
      <c r="E23" s="145"/>
      <c r="F23" s="222"/>
      <c r="G23" s="222"/>
      <c r="H23" s="222"/>
      <c r="I23" s="145"/>
      <c r="J23" s="145"/>
      <c r="K23" s="145"/>
    </row>
    <row r="24" spans="2:11" s="13" customFormat="1" ht="21.75">
      <c r="B24" s="147"/>
      <c r="C24" s="89"/>
      <c r="D24" s="145" t="s">
        <v>471</v>
      </c>
      <c r="E24" s="145"/>
      <c r="F24" s="222"/>
      <c r="G24" s="222"/>
      <c r="H24" s="222"/>
      <c r="I24" s="145"/>
      <c r="J24" s="145"/>
      <c r="K24" s="145"/>
    </row>
    <row r="25" spans="2:11" s="13" customFormat="1" ht="21.75">
      <c r="B25" s="147"/>
      <c r="C25" s="89"/>
      <c r="D25" s="145" t="s">
        <v>422</v>
      </c>
      <c r="E25" s="145"/>
      <c r="F25" s="222"/>
      <c r="G25" s="222"/>
      <c r="H25" s="222"/>
      <c r="I25" s="145"/>
      <c r="J25" s="145"/>
      <c r="K25" s="145"/>
    </row>
    <row r="27" spans="2:11" ht="24">
      <c r="D27" s="2"/>
    </row>
    <row r="28" spans="2:11" ht="24">
      <c r="D28" s="2"/>
    </row>
    <row r="29" spans="2:11" ht="24">
      <c r="D29" s="2"/>
    </row>
  </sheetData>
  <mergeCells count="18">
    <mergeCell ref="A1:K1"/>
    <mergeCell ref="A4:B7"/>
    <mergeCell ref="C4:E4"/>
    <mergeCell ref="F4:H4"/>
    <mergeCell ref="I4:K4"/>
    <mergeCell ref="C5:C7"/>
    <mergeCell ref="D5:D7"/>
    <mergeCell ref="E5:E7"/>
    <mergeCell ref="F5:F7"/>
    <mergeCell ref="G5:G7"/>
    <mergeCell ref="A13:B13"/>
    <mergeCell ref="A14:B14"/>
    <mergeCell ref="H5:H7"/>
    <mergeCell ref="A8:B8"/>
    <mergeCell ref="A9:B9"/>
    <mergeCell ref="A10:B10"/>
    <mergeCell ref="A11:B11"/>
    <mergeCell ref="A12:B12"/>
  </mergeCells>
  <pageMargins left="0.54" right="0.23622047244094491" top="0.51181102362204722" bottom="0" header="0" footer="0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99"/>
  </sheetPr>
  <dimension ref="A1:L130"/>
  <sheetViews>
    <sheetView zoomScaleNormal="100" zoomScaleSheetLayoutView="120" workbookViewId="0">
      <selection sqref="A1:G1"/>
    </sheetView>
  </sheetViews>
  <sheetFormatPr defaultColWidth="8.7109375" defaultRowHeight="24"/>
  <cols>
    <col min="1" max="1" width="7.7109375" style="2" customWidth="1"/>
    <col min="2" max="2" width="6.7109375" style="2" customWidth="1"/>
    <col min="3" max="3" width="24.7109375" style="2" customWidth="1"/>
    <col min="4" max="4" width="15.42578125" style="2" customWidth="1"/>
    <col min="5" max="5" width="15.140625" style="2" customWidth="1"/>
    <col min="6" max="6" width="14.42578125" style="2" customWidth="1"/>
    <col min="7" max="7" width="14.140625" style="2" customWidth="1"/>
    <col min="8" max="8" width="13.85546875" style="2" bestFit="1" customWidth="1"/>
    <col min="9" max="9" width="16.140625" style="2" bestFit="1" customWidth="1"/>
    <col min="10" max="10" width="14" style="2" bestFit="1" customWidth="1"/>
    <col min="11" max="11" width="15" style="2" bestFit="1" customWidth="1"/>
    <col min="12" max="13" width="8.7109375" style="2"/>
    <col min="14" max="14" width="13.7109375" style="2" bestFit="1" customWidth="1"/>
    <col min="15" max="16384" width="8.7109375" style="2"/>
  </cols>
  <sheetData>
    <row r="1" spans="1:7">
      <c r="A1" s="544" t="s">
        <v>215</v>
      </c>
      <c r="B1" s="544"/>
      <c r="C1" s="544"/>
      <c r="D1" s="544"/>
      <c r="E1" s="544"/>
      <c r="F1" s="544"/>
      <c r="G1" s="544"/>
    </row>
    <row r="2" spans="1:7">
      <c r="A2" s="544" t="s">
        <v>216</v>
      </c>
      <c r="B2" s="544"/>
      <c r="C2" s="544"/>
      <c r="D2" s="544"/>
      <c r="E2" s="544"/>
      <c r="F2" s="544"/>
      <c r="G2" s="544"/>
    </row>
    <row r="3" spans="1:7">
      <c r="A3" s="544" t="s">
        <v>373</v>
      </c>
      <c r="B3" s="544"/>
      <c r="C3" s="544"/>
      <c r="D3" s="544"/>
      <c r="E3" s="544"/>
      <c r="F3" s="544"/>
      <c r="G3" s="544"/>
    </row>
    <row r="4" spans="1:7">
      <c r="A4" s="198"/>
      <c r="B4" s="198"/>
      <c r="C4" s="198"/>
      <c r="D4" s="198"/>
      <c r="E4" s="198"/>
      <c r="F4" s="198"/>
      <c r="G4" s="198"/>
    </row>
    <row r="5" spans="1:7">
      <c r="B5" s="2" t="s">
        <v>489</v>
      </c>
    </row>
    <row r="6" spans="1:7">
      <c r="A6" s="305" t="s">
        <v>217</v>
      </c>
      <c r="B6" s="305"/>
      <c r="C6" s="305"/>
      <c r="D6" s="305"/>
      <c r="E6" s="305"/>
      <c r="F6" s="305"/>
    </row>
    <row r="7" spans="1:7">
      <c r="A7" s="305" t="s">
        <v>218</v>
      </c>
      <c r="B7" s="305"/>
      <c r="C7" s="305"/>
      <c r="D7" s="305"/>
      <c r="E7" s="305"/>
      <c r="F7" s="305"/>
    </row>
    <row r="8" spans="1:7">
      <c r="A8" s="305" t="s">
        <v>376</v>
      </c>
      <c r="B8" s="305"/>
      <c r="C8" s="305"/>
      <c r="D8" s="305"/>
      <c r="E8" s="305"/>
      <c r="F8" s="305"/>
    </row>
    <row r="9" spans="1:7">
      <c r="A9" s="305" t="s">
        <v>428</v>
      </c>
      <c r="B9" s="305"/>
      <c r="C9" s="305"/>
      <c r="D9" s="305"/>
      <c r="E9" s="305"/>
      <c r="F9" s="305"/>
    </row>
    <row r="10" spans="1:7">
      <c r="A10" s="305" t="s">
        <v>451</v>
      </c>
      <c r="B10" s="305"/>
      <c r="C10" s="305"/>
      <c r="D10" s="305"/>
      <c r="E10" s="305"/>
      <c r="F10" s="305"/>
    </row>
    <row r="11" spans="1:7">
      <c r="B11" s="2" t="s">
        <v>374</v>
      </c>
    </row>
    <row r="12" spans="1:7">
      <c r="A12" s="2" t="s">
        <v>426</v>
      </c>
    </row>
    <row r="13" spans="1:7" s="238" customFormat="1">
      <c r="A13" s="238" t="s">
        <v>316</v>
      </c>
    </row>
    <row r="14" spans="1:7">
      <c r="A14" s="2" t="s">
        <v>237</v>
      </c>
    </row>
    <row r="15" spans="1:7">
      <c r="A15" s="2" t="s">
        <v>289</v>
      </c>
    </row>
    <row r="16" spans="1:7">
      <c r="A16" s="2" t="s">
        <v>290</v>
      </c>
    </row>
    <row r="17" spans="1:3">
      <c r="B17" s="2" t="s">
        <v>375</v>
      </c>
    </row>
    <row r="18" spans="1:3">
      <c r="A18" s="2" t="s">
        <v>377</v>
      </c>
    </row>
    <row r="19" spans="1:3">
      <c r="A19" s="2" t="s">
        <v>269</v>
      </c>
    </row>
    <row r="20" spans="1:3">
      <c r="A20" s="2" t="s">
        <v>270</v>
      </c>
    </row>
    <row r="21" spans="1:3">
      <c r="A21" s="2" t="s">
        <v>271</v>
      </c>
    </row>
    <row r="22" spans="1:3">
      <c r="B22" s="2" t="s">
        <v>219</v>
      </c>
    </row>
    <row r="23" spans="1:3">
      <c r="C23" s="2" t="s">
        <v>220</v>
      </c>
    </row>
    <row r="24" spans="1:3">
      <c r="A24" s="2" t="s">
        <v>272</v>
      </c>
    </row>
    <row r="25" spans="1:3">
      <c r="C25" s="2" t="s">
        <v>221</v>
      </c>
    </row>
    <row r="26" spans="1:3">
      <c r="A26" s="2" t="s">
        <v>273</v>
      </c>
    </row>
    <row r="27" spans="1:3">
      <c r="C27" s="2" t="s">
        <v>222</v>
      </c>
    </row>
    <row r="28" spans="1:3">
      <c r="A28" s="2" t="s">
        <v>274</v>
      </c>
    </row>
    <row r="29" spans="1:3">
      <c r="B29" s="2" t="s">
        <v>223</v>
      </c>
    </row>
    <row r="30" spans="1:3">
      <c r="C30" s="2" t="s">
        <v>275</v>
      </c>
    </row>
    <row r="31" spans="1:3">
      <c r="A31" s="2" t="s">
        <v>276</v>
      </c>
    </row>
    <row r="32" spans="1:3">
      <c r="B32" s="2" t="s">
        <v>224</v>
      </c>
    </row>
    <row r="33" spans="1:9">
      <c r="A33" s="2" t="s">
        <v>225</v>
      </c>
    </row>
    <row r="34" spans="1:9">
      <c r="B34" s="2" t="s">
        <v>226</v>
      </c>
    </row>
    <row r="35" spans="1:9">
      <c r="C35" s="2" t="s">
        <v>430</v>
      </c>
    </row>
    <row r="36" spans="1:9">
      <c r="A36" s="2" t="s">
        <v>277</v>
      </c>
    </row>
    <row r="38" spans="1:9">
      <c r="A38" s="636" t="s">
        <v>260</v>
      </c>
      <c r="B38" s="636"/>
      <c r="C38" s="636"/>
      <c r="D38" s="636"/>
      <c r="E38" s="636"/>
      <c r="F38" s="636"/>
      <c r="G38" s="636"/>
    </row>
    <row r="39" spans="1:9">
      <c r="A39" s="7" t="s">
        <v>233</v>
      </c>
    </row>
    <row r="40" spans="1:9">
      <c r="B40" s="2" t="s">
        <v>481</v>
      </c>
    </row>
    <row r="41" spans="1:9">
      <c r="A41" s="2" t="s">
        <v>389</v>
      </c>
    </row>
    <row r="42" spans="1:9">
      <c r="A42" s="2" t="s">
        <v>482</v>
      </c>
      <c r="I42" s="8"/>
    </row>
    <row r="43" spans="1:9">
      <c r="G43" s="83" t="s">
        <v>229</v>
      </c>
      <c r="I43" s="525"/>
    </row>
    <row r="44" spans="1:9" ht="20.65" customHeight="1">
      <c r="A44" s="637" t="s">
        <v>36</v>
      </c>
      <c r="B44" s="638"/>
      <c r="C44" s="639"/>
      <c r="D44" s="646" t="s">
        <v>308</v>
      </c>
      <c r="E44" s="646" t="s">
        <v>372</v>
      </c>
      <c r="F44" s="633" t="s">
        <v>227</v>
      </c>
      <c r="G44" s="634"/>
      <c r="I44" s="509"/>
    </row>
    <row r="45" spans="1:9">
      <c r="A45" s="640"/>
      <c r="B45" s="641"/>
      <c r="C45" s="642"/>
      <c r="D45" s="647"/>
      <c r="E45" s="647"/>
      <c r="F45" s="161" t="s">
        <v>230</v>
      </c>
      <c r="G45" s="161" t="s">
        <v>228</v>
      </c>
    </row>
    <row r="46" spans="1:9">
      <c r="A46" s="25" t="s">
        <v>38</v>
      </c>
      <c r="B46" s="162"/>
      <c r="C46" s="127"/>
      <c r="D46" s="51">
        <v>190242006.93999997</v>
      </c>
      <c r="E46" s="51">
        <v>189305637.79000002</v>
      </c>
      <c r="F46" s="51">
        <f t="shared" ref="F46:F51" si="0">E46-D46</f>
        <v>-936369.14999994636</v>
      </c>
      <c r="G46" s="214">
        <f>F46/D46*100</f>
        <v>-0.49219894441886641</v>
      </c>
    </row>
    <row r="47" spans="1:9">
      <c r="A47" s="25" t="s">
        <v>39</v>
      </c>
      <c r="B47" s="162"/>
      <c r="C47" s="127"/>
      <c r="D47" s="51">
        <v>20566940.719999999</v>
      </c>
      <c r="E47" s="51">
        <v>16879036.030000001</v>
      </c>
      <c r="F47" s="51">
        <f t="shared" si="0"/>
        <v>-3687904.6899999976</v>
      </c>
      <c r="G47" s="214">
        <f t="shared" ref="G47:G52" si="1">F47/D47*100</f>
        <v>-17.931226331652489</v>
      </c>
    </row>
    <row r="48" spans="1:9">
      <c r="A48" s="643" t="s">
        <v>40</v>
      </c>
      <c r="B48" s="644"/>
      <c r="C48" s="645"/>
      <c r="D48" s="51">
        <v>10886198.060000001</v>
      </c>
      <c r="E48" s="51">
        <v>10055935.180000002</v>
      </c>
      <c r="F48" s="51">
        <f t="shared" si="0"/>
        <v>-830262.87999999896</v>
      </c>
      <c r="G48" s="214">
        <f t="shared" si="1"/>
        <v>-7.6267478822629364</v>
      </c>
    </row>
    <row r="49" spans="1:7">
      <c r="A49" s="25" t="s">
        <v>211</v>
      </c>
      <c r="B49" s="162"/>
      <c r="C49" s="127"/>
      <c r="D49" s="51">
        <v>46819473.100000001</v>
      </c>
      <c r="E49" s="51">
        <v>72220902.590000004</v>
      </c>
      <c r="F49" s="51">
        <f t="shared" si="0"/>
        <v>25401429.490000002</v>
      </c>
      <c r="G49" s="214">
        <f t="shared" si="1"/>
        <v>54.253984097057263</v>
      </c>
    </row>
    <row r="50" spans="1:7">
      <c r="A50" s="25" t="s">
        <v>41</v>
      </c>
      <c r="B50" s="162"/>
      <c r="C50" s="127"/>
      <c r="D50" s="51">
        <v>43840362.550000012</v>
      </c>
      <c r="E50" s="51">
        <v>38800442.110000014</v>
      </c>
      <c r="F50" s="51">
        <f t="shared" si="0"/>
        <v>-5039920.4399999976</v>
      </c>
      <c r="G50" s="214">
        <f t="shared" si="1"/>
        <v>-11.496073816113995</v>
      </c>
    </row>
    <row r="51" spans="1:7">
      <c r="A51" s="162" t="s">
        <v>209</v>
      </c>
      <c r="B51" s="163"/>
      <c r="C51" s="157"/>
      <c r="D51" s="40">
        <v>31283.959999999992</v>
      </c>
      <c r="E51" s="40">
        <v>430798.35</v>
      </c>
      <c r="F51" s="51">
        <f t="shared" si="0"/>
        <v>399514.39</v>
      </c>
      <c r="G51" s="214">
        <f>F51/D51*100</f>
        <v>1277.0582432658784</v>
      </c>
    </row>
    <row r="52" spans="1:7" ht="24.75" thickBot="1">
      <c r="A52" s="566" t="s">
        <v>42</v>
      </c>
      <c r="B52" s="635"/>
      <c r="C52" s="567"/>
      <c r="D52" s="104">
        <f>SUM(D46:D51)</f>
        <v>312386265.32999998</v>
      </c>
      <c r="E52" s="104">
        <f>SUM(E46:E51)</f>
        <v>327692752.05000007</v>
      </c>
      <c r="F52" s="104">
        <f>SUM(F46:F51)</f>
        <v>15306486.720000062</v>
      </c>
      <c r="G52" s="104">
        <f t="shared" si="1"/>
        <v>4.8998590587299118</v>
      </c>
    </row>
    <row r="53" spans="1:7" ht="24.75" thickTop="1"/>
    <row r="54" spans="1:7" s="239" customFormat="1">
      <c r="A54" s="248"/>
      <c r="B54" s="238" t="s">
        <v>431</v>
      </c>
      <c r="C54" s="248"/>
      <c r="D54" s="248"/>
      <c r="E54" s="248"/>
      <c r="F54" s="248"/>
      <c r="G54" s="248"/>
    </row>
    <row r="55" spans="1:7" s="239" customFormat="1">
      <c r="A55" s="490" t="s">
        <v>432</v>
      </c>
      <c r="B55" s="489"/>
      <c r="C55" s="489"/>
      <c r="D55" s="489"/>
      <c r="E55" s="489"/>
      <c r="F55" s="489"/>
      <c r="G55" s="489"/>
    </row>
    <row r="56" spans="1:7" s="239" customFormat="1">
      <c r="A56" s="490" t="s">
        <v>433</v>
      </c>
      <c r="B56" s="489"/>
      <c r="C56" s="489"/>
      <c r="D56" s="489"/>
      <c r="E56" s="489"/>
      <c r="F56" s="489"/>
      <c r="G56" s="489"/>
    </row>
    <row r="57" spans="1:7" s="239" customFormat="1">
      <c r="A57" s="490" t="s">
        <v>483</v>
      </c>
      <c r="B57" s="489"/>
      <c r="C57" s="489"/>
      <c r="D57" s="489"/>
      <c r="E57" s="489"/>
      <c r="F57" s="489"/>
      <c r="G57" s="489"/>
    </row>
    <row r="58" spans="1:7" s="239" customFormat="1">
      <c r="A58" s="238" t="s">
        <v>434</v>
      </c>
      <c r="B58" s="248"/>
      <c r="C58" s="248"/>
      <c r="D58" s="248"/>
      <c r="E58" s="248"/>
      <c r="F58" s="248"/>
      <c r="G58" s="248"/>
    </row>
    <row r="59" spans="1:7" s="239" customFormat="1">
      <c r="A59" s="238"/>
      <c r="B59" s="248"/>
      <c r="C59" s="248"/>
      <c r="D59" s="248"/>
      <c r="E59" s="248"/>
      <c r="F59" s="248"/>
      <c r="G59" s="248"/>
    </row>
    <row r="60" spans="1:7">
      <c r="A60" s="7" t="s">
        <v>232</v>
      </c>
    </row>
    <row r="61" spans="1:7">
      <c r="B61" s="2" t="s">
        <v>231</v>
      </c>
    </row>
    <row r="62" spans="1:7">
      <c r="A62" s="2" t="s">
        <v>262</v>
      </c>
    </row>
    <row r="63" spans="1:7">
      <c r="A63" s="2" t="s">
        <v>390</v>
      </c>
    </row>
    <row r="64" spans="1:7">
      <c r="A64" s="2" t="s">
        <v>252</v>
      </c>
    </row>
    <row r="65" spans="1:12">
      <c r="A65" s="2" t="s">
        <v>435</v>
      </c>
    </row>
    <row r="67" spans="1:12">
      <c r="A67" s="636" t="s">
        <v>261</v>
      </c>
      <c r="B67" s="636"/>
      <c r="C67" s="636"/>
      <c r="D67" s="636"/>
      <c r="E67" s="636"/>
      <c r="F67" s="636"/>
      <c r="G67" s="636"/>
    </row>
    <row r="68" spans="1:12">
      <c r="A68" s="7" t="s">
        <v>234</v>
      </c>
    </row>
    <row r="69" spans="1:12">
      <c r="B69" s="2" t="s">
        <v>436</v>
      </c>
    </row>
    <row r="70" spans="1:12">
      <c r="A70" s="2" t="s">
        <v>437</v>
      </c>
    </row>
    <row r="71" spans="1:12">
      <c r="A71" s="2" t="s">
        <v>490</v>
      </c>
    </row>
    <row r="72" spans="1:12">
      <c r="A72" s="2" t="s">
        <v>438</v>
      </c>
    </row>
    <row r="73" spans="1:12">
      <c r="A73" s="2" t="s">
        <v>484</v>
      </c>
    </row>
    <row r="74" spans="1:12">
      <c r="H74" s="235"/>
      <c r="I74" s="235"/>
      <c r="J74" s="235"/>
      <c r="K74" s="235"/>
      <c r="L74" s="164"/>
    </row>
    <row r="75" spans="1:12">
      <c r="A75" s="7" t="s">
        <v>239</v>
      </c>
    </row>
    <row r="76" spans="1:12">
      <c r="B76" s="2" t="s">
        <v>266</v>
      </c>
    </row>
    <row r="77" spans="1:12">
      <c r="B77" s="304" t="s">
        <v>109</v>
      </c>
      <c r="C77" s="164" t="s">
        <v>152</v>
      </c>
    </row>
    <row r="78" spans="1:12">
      <c r="B78" s="304" t="s">
        <v>110</v>
      </c>
      <c r="C78" s="164" t="s">
        <v>153</v>
      </c>
    </row>
    <row r="79" spans="1:12">
      <c r="B79" s="304" t="s">
        <v>111</v>
      </c>
      <c r="C79" s="164" t="s">
        <v>154</v>
      </c>
    </row>
    <row r="80" spans="1:12">
      <c r="B80" s="304" t="s">
        <v>114</v>
      </c>
      <c r="C80" s="164" t="s">
        <v>240</v>
      </c>
    </row>
    <row r="81" spans="1:7">
      <c r="B81" s="304" t="s">
        <v>115</v>
      </c>
      <c r="C81" s="164" t="s">
        <v>241</v>
      </c>
    </row>
    <row r="82" spans="1:7">
      <c r="B82" s="304" t="s">
        <v>117</v>
      </c>
      <c r="C82" s="164" t="s">
        <v>158</v>
      </c>
    </row>
    <row r="83" spans="1:7">
      <c r="B83" s="304" t="s">
        <v>120</v>
      </c>
      <c r="C83" s="164" t="s">
        <v>242</v>
      </c>
    </row>
    <row r="84" spans="1:7">
      <c r="B84" s="304" t="s">
        <v>129</v>
      </c>
      <c r="C84" s="164" t="s">
        <v>243</v>
      </c>
    </row>
    <row r="85" spans="1:7">
      <c r="B85" s="304" t="s">
        <v>121</v>
      </c>
      <c r="C85" s="164" t="s">
        <v>161</v>
      </c>
    </row>
    <row r="86" spans="1:7">
      <c r="B86" s="304" t="s">
        <v>125</v>
      </c>
      <c r="C86" s="164" t="s">
        <v>186</v>
      </c>
    </row>
    <row r="87" spans="1:7" ht="12.75" customHeight="1">
      <c r="A87" s="249"/>
      <c r="B87" s="249"/>
      <c r="C87" s="249"/>
      <c r="D87" s="249"/>
      <c r="E87" s="249"/>
      <c r="F87" s="249"/>
      <c r="G87" s="249"/>
    </row>
    <row r="88" spans="1:7">
      <c r="B88" s="305" t="s">
        <v>391</v>
      </c>
    </row>
    <row r="89" spans="1:7">
      <c r="A89" s="2" t="s">
        <v>439</v>
      </c>
      <c r="B89" s="304"/>
    </row>
    <row r="90" spans="1:7">
      <c r="A90" s="490" t="s">
        <v>440</v>
      </c>
      <c r="B90" s="304"/>
    </row>
    <row r="91" spans="1:7">
      <c r="B91" s="250"/>
      <c r="C91" s="198"/>
      <c r="D91" s="198"/>
      <c r="E91" s="198"/>
      <c r="F91" s="198"/>
      <c r="G91" s="198"/>
    </row>
    <row r="92" spans="1:7">
      <c r="A92" s="636" t="s">
        <v>267</v>
      </c>
      <c r="B92" s="636"/>
      <c r="C92" s="636"/>
      <c r="D92" s="636"/>
      <c r="E92" s="636"/>
      <c r="F92" s="636"/>
      <c r="G92" s="636"/>
    </row>
    <row r="93" spans="1:7">
      <c r="A93" s="249"/>
      <c r="B93" s="249"/>
      <c r="C93" s="249"/>
      <c r="D93" s="249"/>
      <c r="E93" s="249"/>
      <c r="F93" s="249"/>
      <c r="G93" s="249"/>
    </row>
    <row r="94" spans="1:7">
      <c r="A94" s="7" t="s">
        <v>235</v>
      </c>
    </row>
    <row r="95" spans="1:7">
      <c r="B95" s="2" t="s">
        <v>236</v>
      </c>
    </row>
    <row r="96" spans="1:7">
      <c r="A96" s="2" t="s">
        <v>237</v>
      </c>
    </row>
    <row r="97" spans="1:7">
      <c r="A97" s="2" t="s">
        <v>238</v>
      </c>
    </row>
    <row r="98" spans="1:7">
      <c r="B98" s="2" t="s">
        <v>485</v>
      </c>
    </row>
    <row r="99" spans="1:7">
      <c r="A99" s="307" t="s">
        <v>486</v>
      </c>
      <c r="B99" s="307"/>
      <c r="C99" s="307"/>
      <c r="D99" s="307"/>
      <c r="E99" s="307"/>
      <c r="F99" s="307"/>
      <c r="G99" s="307"/>
    </row>
    <row r="100" spans="1:7">
      <c r="A100" s="307" t="s">
        <v>441</v>
      </c>
      <c r="B100" s="307"/>
      <c r="C100" s="307"/>
      <c r="D100" s="307"/>
      <c r="E100" s="307"/>
      <c r="F100" s="307"/>
      <c r="G100" s="307"/>
    </row>
    <row r="101" spans="1:7">
      <c r="A101" s="198"/>
      <c r="B101" s="198"/>
      <c r="C101" s="198"/>
      <c r="D101" s="198"/>
      <c r="E101" s="198"/>
      <c r="F101" s="198"/>
      <c r="G101" s="198"/>
    </row>
    <row r="102" spans="1:7">
      <c r="A102" s="7" t="s">
        <v>244</v>
      </c>
    </row>
    <row r="103" spans="1:7">
      <c r="B103" s="2" t="s">
        <v>245</v>
      </c>
    </row>
    <row r="104" spans="1:7">
      <c r="A104" s="2" t="s">
        <v>487</v>
      </c>
    </row>
    <row r="105" spans="1:7">
      <c r="A105" s="2" t="s">
        <v>488</v>
      </c>
    </row>
    <row r="106" spans="1:7">
      <c r="A106" s="2" t="s">
        <v>491</v>
      </c>
    </row>
    <row r="107" spans="1:7">
      <c r="A107" s="2" t="s">
        <v>492</v>
      </c>
    </row>
    <row r="108" spans="1:7">
      <c r="A108" s="2" t="s">
        <v>442</v>
      </c>
    </row>
    <row r="109" spans="1:7">
      <c r="A109" s="198"/>
      <c r="B109" s="198"/>
      <c r="C109" s="198"/>
      <c r="D109" s="198"/>
      <c r="E109" s="198"/>
      <c r="F109" s="198"/>
      <c r="G109" s="198"/>
    </row>
    <row r="110" spans="1:7">
      <c r="A110" s="7" t="s">
        <v>246</v>
      </c>
    </row>
    <row r="111" spans="1:7">
      <c r="B111" s="2" t="s">
        <v>429</v>
      </c>
    </row>
    <row r="112" spans="1:7" s="238" customFormat="1">
      <c r="A112" s="238" t="s">
        <v>443</v>
      </c>
    </row>
    <row r="113" spans="1:7" s="238" customFormat="1">
      <c r="A113" s="490" t="s">
        <v>452</v>
      </c>
    </row>
    <row r="114" spans="1:7" s="238" customFormat="1">
      <c r="A114" s="238" t="s">
        <v>453</v>
      </c>
    </row>
    <row r="115" spans="1:7" s="238" customFormat="1">
      <c r="A115" s="238" t="s">
        <v>454</v>
      </c>
    </row>
    <row r="116" spans="1:7">
      <c r="B116" s="2" t="s">
        <v>444</v>
      </c>
    </row>
    <row r="117" spans="1:7" s="238" customFormat="1">
      <c r="A117" s="238" t="s">
        <v>445</v>
      </c>
    </row>
    <row r="118" spans="1:7" s="238" customFormat="1">
      <c r="A118" s="238" t="s">
        <v>455</v>
      </c>
    </row>
    <row r="119" spans="1:7" s="238" customFormat="1">
      <c r="A119" s="248"/>
      <c r="B119" s="248"/>
      <c r="C119" s="248"/>
      <c r="D119" s="248"/>
      <c r="E119" s="248"/>
      <c r="F119" s="248"/>
      <c r="G119" s="248"/>
    </row>
    <row r="120" spans="1:7">
      <c r="A120" s="636" t="s">
        <v>268</v>
      </c>
      <c r="B120" s="636"/>
      <c r="C120" s="636"/>
      <c r="D120" s="636"/>
      <c r="E120" s="636"/>
      <c r="F120" s="636"/>
      <c r="G120" s="636"/>
    </row>
    <row r="121" spans="1:7">
      <c r="A121" s="198"/>
      <c r="B121" s="198"/>
      <c r="C121" s="198"/>
      <c r="D121" s="198"/>
      <c r="E121" s="198"/>
      <c r="F121" s="198"/>
      <c r="G121" s="198"/>
    </row>
    <row r="122" spans="1:7">
      <c r="A122" s="7" t="s">
        <v>247</v>
      </c>
    </row>
    <row r="123" spans="1:7" s="238" customFormat="1">
      <c r="B123" s="238" t="s">
        <v>446</v>
      </c>
    </row>
    <row r="124" spans="1:7" s="238" customFormat="1">
      <c r="A124" s="238" t="s">
        <v>447</v>
      </c>
    </row>
    <row r="125" spans="1:7" s="238" customFormat="1">
      <c r="A125" s="238" t="s">
        <v>448</v>
      </c>
    </row>
    <row r="126" spans="1:7" s="238" customFormat="1"/>
    <row r="127" spans="1:7">
      <c r="A127" s="198"/>
      <c r="B127" s="2" t="s">
        <v>449</v>
      </c>
      <c r="C127" s="198"/>
      <c r="D127" s="198"/>
      <c r="E127" s="198"/>
      <c r="F127" s="198"/>
      <c r="G127" s="198"/>
    </row>
    <row r="128" spans="1:7">
      <c r="A128" s="2" t="s">
        <v>450</v>
      </c>
    </row>
    <row r="130" spans="1:7">
      <c r="A130" s="198"/>
      <c r="B130" s="198"/>
      <c r="C130" s="198"/>
      <c r="D130" s="198"/>
      <c r="E130" s="198"/>
      <c r="F130" s="198"/>
      <c r="G130" s="198"/>
    </row>
  </sheetData>
  <mergeCells count="13">
    <mergeCell ref="A48:C48"/>
    <mergeCell ref="D44:D45"/>
    <mergeCell ref="E44:E45"/>
    <mergeCell ref="F44:G44"/>
    <mergeCell ref="A52:C52"/>
    <mergeCell ref="A92:G92"/>
    <mergeCell ref="A120:G120"/>
    <mergeCell ref="A67:G67"/>
    <mergeCell ref="A1:G1"/>
    <mergeCell ref="A2:G2"/>
    <mergeCell ref="A3:G3"/>
    <mergeCell ref="A38:G38"/>
    <mergeCell ref="A44:C45"/>
  </mergeCells>
  <pageMargins left="0.83" right="0" top="0.74803149606299213" bottom="0.23622047244094491" header="0.31496062992125984" footer="0"/>
  <pageSetup paperSize="9" scale="89" orientation="portrait" r:id="rId1"/>
  <rowBreaks count="4" manualBreakCount="4">
    <brk id="37" max="7" man="1"/>
    <brk id="66" max="16383" man="1"/>
    <brk id="91" max="16383" man="1"/>
    <brk id="119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R31"/>
  <sheetViews>
    <sheetView zoomScaleNormal="100" zoomScaleSheetLayoutView="80" workbookViewId="0">
      <pane xSplit="1" topLeftCell="B1" activePane="topRight" state="frozen"/>
      <selection pane="topRight"/>
    </sheetView>
  </sheetViews>
  <sheetFormatPr defaultColWidth="9.28515625" defaultRowHeight="24"/>
  <cols>
    <col min="1" max="1" width="47" style="2" customWidth="1"/>
    <col min="2" max="2" width="15.140625" style="13" bestFit="1" customWidth="1"/>
    <col min="3" max="3" width="13.85546875" style="13" bestFit="1" customWidth="1"/>
    <col min="4" max="4" width="14" style="13" bestFit="1" customWidth="1"/>
    <col min="5" max="5" width="14.140625" style="13" bestFit="1" customWidth="1"/>
    <col min="6" max="6" width="8.5703125" style="13" hidden="1" customWidth="1"/>
    <col min="7" max="7" width="11.42578125" style="13" customWidth="1"/>
    <col min="8" max="8" width="16" style="14" bestFit="1" customWidth="1"/>
    <col min="9" max="9" width="15.7109375" style="13" customWidth="1"/>
    <col min="10" max="10" width="16.28515625" style="13" customWidth="1"/>
    <col min="11" max="11" width="16.28515625" style="13" hidden="1" customWidth="1"/>
    <col min="12" max="12" width="18.7109375" style="13" bestFit="1" customWidth="1"/>
    <col min="13" max="13" width="16" style="13" customWidth="1"/>
    <col min="14" max="14" width="16.7109375" style="13" customWidth="1"/>
    <col min="15" max="15" width="15.140625" style="14" bestFit="1" customWidth="1"/>
    <col min="16" max="16" width="15.140625" style="15" bestFit="1" customWidth="1"/>
    <col min="17" max="17" width="11.7109375" style="2" bestFit="1" customWidth="1"/>
    <col min="18" max="18" width="9.28515625" style="2"/>
    <col min="19" max="19" width="11.7109375" style="2" bestFit="1" customWidth="1"/>
    <col min="20" max="16384" width="9.28515625" style="2"/>
  </cols>
  <sheetData>
    <row r="1" spans="1:18">
      <c r="A1" s="12" t="s">
        <v>329</v>
      </c>
    </row>
    <row r="2" spans="1:18" ht="21.75" customHeight="1">
      <c r="O2" s="550" t="s">
        <v>63</v>
      </c>
      <c r="P2" s="550"/>
    </row>
    <row r="3" spans="1:18" s="17" customFormat="1" ht="21.75">
      <c r="A3" s="551" t="s">
        <v>12</v>
      </c>
      <c r="B3" s="554" t="s">
        <v>13</v>
      </c>
      <c r="C3" s="555"/>
      <c r="D3" s="555"/>
      <c r="E3" s="555"/>
      <c r="F3" s="555"/>
      <c r="G3" s="555"/>
      <c r="H3" s="555"/>
      <c r="I3" s="554" t="s">
        <v>17</v>
      </c>
      <c r="J3" s="555"/>
      <c r="K3" s="555"/>
      <c r="L3" s="555"/>
      <c r="M3" s="555"/>
      <c r="N3" s="555"/>
      <c r="O3" s="555"/>
      <c r="P3" s="556" t="s">
        <v>16</v>
      </c>
    </row>
    <row r="4" spans="1:18" s="17" customFormat="1" ht="21.75">
      <c r="A4" s="552"/>
      <c r="B4" s="18" t="s">
        <v>14</v>
      </c>
      <c r="C4" s="19" t="s">
        <v>14</v>
      </c>
      <c r="D4" s="19" t="s">
        <v>14</v>
      </c>
      <c r="E4" s="19" t="s">
        <v>66</v>
      </c>
      <c r="F4" s="19" t="s">
        <v>25</v>
      </c>
      <c r="G4" s="22" t="s">
        <v>85</v>
      </c>
      <c r="H4" s="22" t="s">
        <v>16</v>
      </c>
      <c r="I4" s="18" t="s">
        <v>14</v>
      </c>
      <c r="J4" s="19" t="s">
        <v>14</v>
      </c>
      <c r="K4" s="19" t="s">
        <v>14</v>
      </c>
      <c r="L4" s="19" t="s">
        <v>322</v>
      </c>
      <c r="M4" s="19" t="s">
        <v>25</v>
      </c>
      <c r="N4" s="19" t="s">
        <v>208</v>
      </c>
      <c r="O4" s="22" t="s">
        <v>16</v>
      </c>
      <c r="P4" s="557"/>
    </row>
    <row r="5" spans="1:18" s="17" customFormat="1" ht="65.25">
      <c r="A5" s="552"/>
      <c r="B5" s="240" t="s">
        <v>15</v>
      </c>
      <c r="C5" s="241" t="s">
        <v>170</v>
      </c>
      <c r="D5" s="241" t="s">
        <v>18</v>
      </c>
      <c r="E5" s="242" t="s">
        <v>328</v>
      </c>
      <c r="F5" s="241" t="s">
        <v>171</v>
      </c>
      <c r="G5" s="22"/>
      <c r="H5" s="22"/>
      <c r="I5" s="240" t="s">
        <v>15</v>
      </c>
      <c r="J5" s="241" t="s">
        <v>170</v>
      </c>
      <c r="K5" s="241" t="s">
        <v>18</v>
      </c>
      <c r="L5" s="242" t="s">
        <v>323</v>
      </c>
      <c r="M5" s="241" t="s">
        <v>171</v>
      </c>
      <c r="N5" s="241" t="s">
        <v>326</v>
      </c>
      <c r="O5" s="23"/>
      <c r="P5" s="557"/>
    </row>
    <row r="6" spans="1:18" s="499" customFormat="1" ht="42" customHeight="1">
      <c r="A6" s="553"/>
      <c r="B6" s="492">
        <v>5101</v>
      </c>
      <c r="C6" s="493">
        <v>5102</v>
      </c>
      <c r="D6" s="493">
        <v>5103</v>
      </c>
      <c r="E6" s="494">
        <v>5104</v>
      </c>
      <c r="F6" s="494">
        <v>5105</v>
      </c>
      <c r="G6" s="494">
        <v>5212</v>
      </c>
      <c r="H6" s="495"/>
      <c r="I6" s="496" t="s">
        <v>319</v>
      </c>
      <c r="J6" s="497" t="s">
        <v>320</v>
      </c>
      <c r="K6" s="497" t="s">
        <v>321</v>
      </c>
      <c r="L6" s="494" t="s">
        <v>324</v>
      </c>
      <c r="M6" s="493" t="s">
        <v>325</v>
      </c>
      <c r="N6" s="494" t="s">
        <v>327</v>
      </c>
      <c r="O6" s="498"/>
      <c r="P6" s="558"/>
    </row>
    <row r="7" spans="1:18" s="13" customFormat="1" ht="21.6" customHeight="1">
      <c r="A7" s="137" t="s">
        <v>3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R7" s="3"/>
    </row>
    <row r="8" spans="1:18">
      <c r="A8" s="511" t="s">
        <v>456</v>
      </c>
      <c r="B8" s="224">
        <v>16218437.58</v>
      </c>
      <c r="C8" s="224">
        <v>239416.45</v>
      </c>
      <c r="D8" s="224">
        <v>1000</v>
      </c>
      <c r="E8" s="224">
        <v>642426.9</v>
      </c>
      <c r="F8" s="224">
        <v>0</v>
      </c>
      <c r="G8" s="224">
        <v>0</v>
      </c>
      <c r="H8" s="152">
        <f t="shared" ref="H8:H17" si="0">SUM(B8:G8)</f>
        <v>17101280.93</v>
      </c>
      <c r="I8" s="224">
        <v>1899951.6579605073</v>
      </c>
      <c r="J8" s="224">
        <v>950.56179775280896</v>
      </c>
      <c r="K8" s="491" t="s">
        <v>384</v>
      </c>
      <c r="L8" s="224">
        <v>1486330.812036356</v>
      </c>
      <c r="M8" s="224">
        <v>4173045.2612585812</v>
      </c>
      <c r="N8" s="224">
        <v>13.981693363844395</v>
      </c>
      <c r="O8" s="152">
        <f>SUM(I8:N8)</f>
        <v>7560292.2747465605</v>
      </c>
      <c r="P8" s="152">
        <f>H8+O8</f>
        <v>24661573.204746559</v>
      </c>
      <c r="Q8" s="29"/>
    </row>
    <row r="9" spans="1:18">
      <c r="A9" s="511" t="s">
        <v>457</v>
      </c>
      <c r="B9" s="224">
        <v>14375172.799999999</v>
      </c>
      <c r="C9" s="224">
        <v>135427.42000000001</v>
      </c>
      <c r="D9" s="224">
        <v>232182.32</v>
      </c>
      <c r="E9" s="224">
        <v>598918.8899999999</v>
      </c>
      <c r="F9" s="224">
        <v>0</v>
      </c>
      <c r="G9" s="224">
        <v>0</v>
      </c>
      <c r="H9" s="152">
        <f t="shared" si="0"/>
        <v>15341701.43</v>
      </c>
      <c r="I9" s="224">
        <v>1616980.1344344742</v>
      </c>
      <c r="J9" s="224">
        <v>808.98876404494376</v>
      </c>
      <c r="K9" s="491"/>
      <c r="L9" s="224">
        <v>1264962.3932224305</v>
      </c>
      <c r="M9" s="224">
        <v>3551527.8819221966</v>
      </c>
      <c r="N9" s="224">
        <v>11.899313501144166</v>
      </c>
      <c r="O9" s="152">
        <f>SUM(I9:N9)</f>
        <v>6434291.2976566469</v>
      </c>
      <c r="P9" s="152">
        <f>H9+O9</f>
        <v>21775992.727656648</v>
      </c>
      <c r="Q9" s="29"/>
    </row>
    <row r="10" spans="1:18">
      <c r="A10" s="511" t="s">
        <v>458</v>
      </c>
      <c r="B10" s="224">
        <v>14432172.039999999</v>
      </c>
      <c r="C10" s="224">
        <v>1582573.85</v>
      </c>
      <c r="D10" s="224">
        <v>10200</v>
      </c>
      <c r="E10" s="224">
        <v>1482210.29</v>
      </c>
      <c r="F10" s="224">
        <v>0</v>
      </c>
      <c r="G10" s="224">
        <v>0</v>
      </c>
      <c r="H10" s="152">
        <f t="shared" si="0"/>
        <v>17507156.18</v>
      </c>
      <c r="I10" s="224">
        <v>1657404.63779534</v>
      </c>
      <c r="J10" s="224">
        <v>829.21348314606746</v>
      </c>
      <c r="K10" s="491"/>
      <c r="L10" s="224">
        <v>1296586.4530529918</v>
      </c>
      <c r="M10" s="224">
        <v>3640316.0789702525</v>
      </c>
      <c r="N10" s="224">
        <v>12.196796338672767</v>
      </c>
      <c r="O10" s="152">
        <f>SUM(I10:N10)</f>
        <v>6595148.5800980693</v>
      </c>
      <c r="P10" s="152">
        <f t="shared" ref="P10:P17" si="1">H10+O10</f>
        <v>24102304.76009807</v>
      </c>
      <c r="Q10" s="29"/>
    </row>
    <row r="11" spans="1:18">
      <c r="A11" s="511" t="s">
        <v>459</v>
      </c>
      <c r="B11" s="224">
        <v>7580646</v>
      </c>
      <c r="C11" s="224">
        <v>1627338.16</v>
      </c>
      <c r="D11" s="224">
        <v>202776.88999999998</v>
      </c>
      <c r="E11" s="224">
        <v>243018.67</v>
      </c>
      <c r="F11" s="224">
        <v>0</v>
      </c>
      <c r="G11" s="224">
        <v>0</v>
      </c>
      <c r="H11" s="152">
        <f t="shared" si="0"/>
        <v>9653779.7200000007</v>
      </c>
      <c r="I11" s="224">
        <v>768065.56385637529</v>
      </c>
      <c r="J11" s="224">
        <v>384.2696629213483</v>
      </c>
      <c r="K11" s="491"/>
      <c r="L11" s="224">
        <v>600857.13678065478</v>
      </c>
      <c r="M11" s="224">
        <v>1686975.7439130433</v>
      </c>
      <c r="N11" s="224">
        <v>5.6521739130434794</v>
      </c>
      <c r="O11" s="152">
        <f t="shared" ref="O11:O19" si="2">SUM(I11:N11)</f>
        <v>3056288.3663869076</v>
      </c>
      <c r="P11" s="152">
        <f>H11+O11</f>
        <v>12710068.086386908</v>
      </c>
      <c r="Q11" s="29"/>
    </row>
    <row r="12" spans="1:18">
      <c r="A12" s="511" t="s">
        <v>460</v>
      </c>
      <c r="B12" s="224">
        <v>10757927.41</v>
      </c>
      <c r="C12" s="224">
        <v>1486330</v>
      </c>
      <c r="D12" s="224">
        <v>28464.62</v>
      </c>
      <c r="E12" s="224">
        <v>1298342.81</v>
      </c>
      <c r="F12" s="224">
        <v>0</v>
      </c>
      <c r="G12" s="224">
        <v>0</v>
      </c>
      <c r="H12" s="152">
        <f t="shared" si="0"/>
        <v>13571064.84</v>
      </c>
      <c r="I12" s="224">
        <v>1091461.59074327</v>
      </c>
      <c r="J12" s="224">
        <v>546.06741573033707</v>
      </c>
      <c r="K12" s="491"/>
      <c r="L12" s="224">
        <v>853849.61542514071</v>
      </c>
      <c r="M12" s="224">
        <v>2397281.3202974829</v>
      </c>
      <c r="N12" s="224">
        <v>8.0320366132723109</v>
      </c>
      <c r="O12" s="152">
        <f t="shared" si="2"/>
        <v>4343146.6259182375</v>
      </c>
      <c r="P12" s="152">
        <f>H12+O12</f>
        <v>17914211.465918235</v>
      </c>
      <c r="Q12" s="29"/>
    </row>
    <row r="13" spans="1:18">
      <c r="A13" s="511" t="s">
        <v>461</v>
      </c>
      <c r="B13" s="224">
        <v>9915558.9199999999</v>
      </c>
      <c r="C13" s="224">
        <v>1048379.67</v>
      </c>
      <c r="D13" s="224">
        <v>160764.49</v>
      </c>
      <c r="E13" s="224">
        <v>2418300.4299999997</v>
      </c>
      <c r="F13" s="224">
        <v>0</v>
      </c>
      <c r="G13" s="224">
        <v>0</v>
      </c>
      <c r="H13" s="152">
        <f t="shared" si="0"/>
        <v>13543003.51</v>
      </c>
      <c r="I13" s="224">
        <v>1374433.1142693029</v>
      </c>
      <c r="J13" s="224">
        <v>687.64044943820227</v>
      </c>
      <c r="K13" s="491"/>
      <c r="L13" s="224">
        <v>1075218.0342390663</v>
      </c>
      <c r="M13" s="224">
        <v>3018798.6996338675</v>
      </c>
      <c r="N13" s="224">
        <v>10.114416475972538</v>
      </c>
      <c r="O13" s="152">
        <f t="shared" si="2"/>
        <v>5469147.6030081511</v>
      </c>
      <c r="P13" s="152">
        <f t="shared" si="1"/>
        <v>19012151.113008149</v>
      </c>
      <c r="Q13" s="29"/>
    </row>
    <row r="14" spans="1:18">
      <c r="A14" s="511" t="s">
        <v>462</v>
      </c>
      <c r="B14" s="224">
        <v>14119843.709999999</v>
      </c>
      <c r="C14" s="224">
        <v>10480</v>
      </c>
      <c r="D14" s="224">
        <v>8304593.0099999998</v>
      </c>
      <c r="E14" s="224">
        <v>27756992.799999997</v>
      </c>
      <c r="F14" s="224">
        <v>0</v>
      </c>
      <c r="G14" s="224">
        <v>0</v>
      </c>
      <c r="H14" s="152">
        <f t="shared" si="0"/>
        <v>50191909.519999996</v>
      </c>
      <c r="I14" s="224">
        <v>1374433.1142693029</v>
      </c>
      <c r="J14" s="224">
        <v>687.64044943820227</v>
      </c>
      <c r="K14" s="491"/>
      <c r="L14" s="224">
        <v>1075218.0342390663</v>
      </c>
      <c r="M14" s="224">
        <v>3018798.6996338675</v>
      </c>
      <c r="N14" s="224">
        <v>10.114416475972538</v>
      </c>
      <c r="O14" s="152">
        <f t="shared" si="2"/>
        <v>5469147.6030081511</v>
      </c>
      <c r="P14" s="152">
        <f t="shared" si="1"/>
        <v>55661057.123008147</v>
      </c>
      <c r="Q14" s="29"/>
    </row>
    <row r="15" spans="1:18">
      <c r="A15" s="511" t="s">
        <v>463</v>
      </c>
      <c r="B15" s="224">
        <v>25728831.019999996</v>
      </c>
      <c r="C15" s="224">
        <v>0</v>
      </c>
      <c r="D15" s="224">
        <v>500245.14</v>
      </c>
      <c r="E15" s="224">
        <v>6178112.75</v>
      </c>
      <c r="F15" s="224">
        <v>0</v>
      </c>
      <c r="G15" s="224">
        <v>430798.35</v>
      </c>
      <c r="H15" s="152">
        <f t="shared" si="0"/>
        <v>32837987.259999998</v>
      </c>
      <c r="I15" s="224">
        <v>145610.54130337076</v>
      </c>
      <c r="J15" s="224">
        <v>161.79775280898878</v>
      </c>
      <c r="K15" s="491"/>
      <c r="L15" s="224">
        <v>16940.284044943819</v>
      </c>
      <c r="M15" s="224">
        <v>0</v>
      </c>
      <c r="N15" s="224">
        <v>0</v>
      </c>
      <c r="O15" s="152">
        <f t="shared" si="2"/>
        <v>162712.62310112355</v>
      </c>
      <c r="P15" s="152">
        <f t="shared" si="1"/>
        <v>33000699.883101121</v>
      </c>
      <c r="Q15" s="29"/>
    </row>
    <row r="16" spans="1:18">
      <c r="A16" s="30" t="s">
        <v>464</v>
      </c>
      <c r="B16" s="224">
        <v>6904326.9699999997</v>
      </c>
      <c r="C16" s="224">
        <v>8404</v>
      </c>
      <c r="D16" s="224">
        <v>235186.09000000003</v>
      </c>
      <c r="E16" s="224">
        <v>650711.30000000005</v>
      </c>
      <c r="F16" s="224">
        <v>0</v>
      </c>
      <c r="G16" s="224">
        <v>0</v>
      </c>
      <c r="H16" s="152">
        <f t="shared" si="0"/>
        <v>7798628.3599999994</v>
      </c>
      <c r="I16" s="224">
        <v>768065.56385637529</v>
      </c>
      <c r="J16" s="224">
        <v>384.2696629213483</v>
      </c>
      <c r="K16" s="491"/>
      <c r="L16" s="224">
        <v>600857.13678065478</v>
      </c>
      <c r="M16" s="224">
        <v>1686975.7439130433</v>
      </c>
      <c r="N16" s="224">
        <v>5.6521739130434794</v>
      </c>
      <c r="O16" s="152">
        <f>SUM(I16:N16)</f>
        <v>3056288.3663869076</v>
      </c>
      <c r="P16" s="152">
        <f t="shared" si="1"/>
        <v>10854916.726386907</v>
      </c>
      <c r="Q16" s="29"/>
    </row>
    <row r="17" spans="1:17">
      <c r="A17" s="30" t="s">
        <v>465</v>
      </c>
      <c r="B17" s="224">
        <v>11270882.799999999</v>
      </c>
      <c r="C17" s="224">
        <v>4767416.8999999994</v>
      </c>
      <c r="D17" s="224">
        <v>195647.62</v>
      </c>
      <c r="E17" s="224">
        <v>2946781.36</v>
      </c>
      <c r="F17" s="224">
        <v>0</v>
      </c>
      <c r="G17" s="224">
        <v>0</v>
      </c>
      <c r="H17" s="152">
        <f t="shared" si="0"/>
        <v>19180728.68</v>
      </c>
      <c r="I17" s="224">
        <v>1495706.6243518884</v>
      </c>
      <c r="J17" s="224">
        <v>748.31460674157302</v>
      </c>
      <c r="K17" s="491"/>
      <c r="L17" s="224">
        <v>1170090.2137307483</v>
      </c>
      <c r="M17" s="224">
        <v>3285163.290778032</v>
      </c>
      <c r="N17" s="224">
        <v>11.006864988558352</v>
      </c>
      <c r="O17" s="152">
        <f t="shared" si="2"/>
        <v>5951719.4503323985</v>
      </c>
      <c r="P17" s="152">
        <f t="shared" si="1"/>
        <v>25132448.130332399</v>
      </c>
      <c r="Q17" s="29"/>
    </row>
    <row r="18" spans="1:17" ht="21.6" customHeight="1">
      <c r="A18" s="38" t="s">
        <v>9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152"/>
      <c r="P18" s="253"/>
      <c r="Q18" s="29"/>
    </row>
    <row r="19" spans="1:17">
      <c r="A19" s="30" t="s">
        <v>466</v>
      </c>
      <c r="B19" s="224">
        <v>27255510.79999999</v>
      </c>
      <c r="C19" s="224">
        <v>5888849.5800000001</v>
      </c>
      <c r="D19" s="224">
        <v>183115.00000000003</v>
      </c>
      <c r="E19" s="224">
        <v>2698963.9599999995</v>
      </c>
      <c r="F19" s="224">
        <v>0</v>
      </c>
      <c r="G19" s="224">
        <v>0</v>
      </c>
      <c r="H19" s="152">
        <f>SUM(B19:G19)</f>
        <v>36026439.339999989</v>
      </c>
      <c r="I19" s="224">
        <v>4082874.8394470466</v>
      </c>
      <c r="J19" s="224">
        <v>2042.696629213483</v>
      </c>
      <c r="K19" s="224"/>
      <c r="L19" s="224">
        <v>3194030.0428866376</v>
      </c>
      <c r="M19" s="224">
        <v>8967607.9018535465</v>
      </c>
      <c r="N19" s="224">
        <v>30.045766590389018</v>
      </c>
      <c r="O19" s="152">
        <f t="shared" si="2"/>
        <v>16246585.526583035</v>
      </c>
      <c r="P19" s="152">
        <f>H19+O19</f>
        <v>52273024.866583019</v>
      </c>
      <c r="Q19" s="29"/>
    </row>
    <row r="20" spans="1:17">
      <c r="A20" s="30" t="s">
        <v>467</v>
      </c>
      <c r="B20" s="224">
        <v>6018652.3799999999</v>
      </c>
      <c r="C20" s="224">
        <v>20800</v>
      </c>
      <c r="D20" s="224">
        <v>1760</v>
      </c>
      <c r="E20" s="224">
        <v>10738461.039999999</v>
      </c>
      <c r="F20" s="224">
        <v>0</v>
      </c>
      <c r="G20" s="224">
        <v>0</v>
      </c>
      <c r="H20" s="152">
        <f>SUM(B20:G20)</f>
        <v>16779673.419999998</v>
      </c>
      <c r="I20" s="224">
        <v>687216.55713465146</v>
      </c>
      <c r="J20" s="224">
        <v>343.82022471910113</v>
      </c>
      <c r="K20" s="224"/>
      <c r="L20" s="224">
        <v>537609.01711953315</v>
      </c>
      <c r="M20" s="224">
        <v>1509399.3498169337</v>
      </c>
      <c r="N20" s="224">
        <v>5.0572082379862691</v>
      </c>
      <c r="O20" s="152">
        <v>2734573.8015040755</v>
      </c>
      <c r="P20" s="152">
        <f>H20+O20</f>
        <v>19514247.221504074</v>
      </c>
      <c r="Q20" s="29"/>
    </row>
    <row r="21" spans="1:17">
      <c r="A21" s="30" t="s">
        <v>468</v>
      </c>
      <c r="B21" s="224">
        <v>2612130</v>
      </c>
      <c r="C21" s="224">
        <v>5700</v>
      </c>
      <c r="D21" s="224">
        <v>0</v>
      </c>
      <c r="E21" s="224">
        <v>284865.28000000003</v>
      </c>
      <c r="F21" s="224">
        <v>0</v>
      </c>
      <c r="G21" s="224">
        <v>0</v>
      </c>
      <c r="H21" s="152">
        <f>SUM(B21:G21)</f>
        <v>2902695.2800000003</v>
      </c>
      <c r="I21" s="224">
        <v>282971.52352603298</v>
      </c>
      <c r="J21" s="224">
        <v>141.57303370786516</v>
      </c>
      <c r="K21" s="224"/>
      <c r="L21" s="224">
        <v>221368.41881392541</v>
      </c>
      <c r="M21" s="224">
        <v>621517.37933638447</v>
      </c>
      <c r="N21" s="224">
        <v>2.082379862700229</v>
      </c>
      <c r="O21" s="152">
        <v>1126000.9770899133</v>
      </c>
      <c r="P21" s="152">
        <f>H21+O21</f>
        <v>4028696.2570899138</v>
      </c>
      <c r="Q21" s="29"/>
    </row>
    <row r="22" spans="1:17">
      <c r="A22" s="30" t="s">
        <v>469</v>
      </c>
      <c r="B22" s="224">
        <v>1208335.3400000001</v>
      </c>
      <c r="C22" s="224">
        <v>0</v>
      </c>
      <c r="D22" s="224">
        <v>0</v>
      </c>
      <c r="E22" s="224">
        <v>20984.99</v>
      </c>
      <c r="F22" s="224">
        <v>0</v>
      </c>
      <c r="G22" s="224">
        <v>0</v>
      </c>
      <c r="H22" s="152">
        <f>SUM(B22:G22)</f>
        <v>1229320.33</v>
      </c>
      <c r="I22" s="224">
        <v>161698.01344344739</v>
      </c>
      <c r="J22" s="224">
        <v>80.898876404494388</v>
      </c>
      <c r="K22" s="224"/>
      <c r="L22" s="224">
        <v>126496.23932224305</v>
      </c>
      <c r="M22" s="224">
        <v>355152.78819221968</v>
      </c>
      <c r="N22" s="224">
        <v>1.1899313501144166</v>
      </c>
      <c r="O22" s="152">
        <v>643429.12976566469</v>
      </c>
      <c r="P22" s="152">
        <f>H22+O22</f>
        <v>1872749.4597656648</v>
      </c>
      <c r="Q22" s="29"/>
    </row>
    <row r="23" spans="1:17">
      <c r="A23" s="30" t="s">
        <v>470</v>
      </c>
      <c r="B23" s="224">
        <v>3096091.51</v>
      </c>
      <c r="C23" s="224">
        <v>48920</v>
      </c>
      <c r="D23" s="224">
        <v>0</v>
      </c>
      <c r="E23" s="224">
        <v>425156.69</v>
      </c>
      <c r="F23" s="224">
        <v>0</v>
      </c>
      <c r="G23" s="224">
        <v>0</v>
      </c>
      <c r="H23" s="152">
        <f>SUM(B23:G23)</f>
        <v>3570168.1999999997</v>
      </c>
      <c r="I23" s="224">
        <v>404245.03360861854</v>
      </c>
      <c r="J23" s="224">
        <v>202.24719101123594</v>
      </c>
      <c r="K23" s="224"/>
      <c r="L23" s="224">
        <v>316240.59830560762</v>
      </c>
      <c r="M23" s="224">
        <v>887881.97048054915</v>
      </c>
      <c r="N23" s="224">
        <v>2.9748283752860414</v>
      </c>
      <c r="O23" s="152">
        <v>1608572.8244141617</v>
      </c>
      <c r="P23" s="152">
        <f>H23+O23</f>
        <v>5178741.0244141612</v>
      </c>
      <c r="Q23" s="29"/>
    </row>
    <row r="24" spans="1:17" s="7" customFormat="1" ht="24.75" thickBot="1">
      <c r="A24" s="31" t="s">
        <v>26</v>
      </c>
      <c r="B24" s="32">
        <f t="shared" ref="B24:L24" si="3">SUM(B8:B23)</f>
        <v>171494519.27999997</v>
      </c>
      <c r="C24" s="32">
        <f t="shared" si="3"/>
        <v>16870036.030000001</v>
      </c>
      <c r="D24" s="32">
        <f t="shared" si="3"/>
        <v>10055935.18</v>
      </c>
      <c r="E24" s="32">
        <f>SUM(E8:E23)</f>
        <v>58384248.159999996</v>
      </c>
      <c r="F24" s="32">
        <f t="shared" si="3"/>
        <v>0</v>
      </c>
      <c r="G24" s="32">
        <f>SUM(G8:G23)</f>
        <v>430798.35</v>
      </c>
      <c r="H24" s="32">
        <f>SUM(H8:H23)</f>
        <v>257235536.99999997</v>
      </c>
      <c r="I24" s="32">
        <f>SUM(I8:I23)</f>
        <v>17811118.510000002</v>
      </c>
      <c r="J24" s="32">
        <f>SUM(J8:J23)</f>
        <v>9000.0000000000018</v>
      </c>
      <c r="K24" s="32">
        <f t="shared" si="3"/>
        <v>0</v>
      </c>
      <c r="L24" s="32">
        <f t="shared" si="3"/>
        <v>13836654.43</v>
      </c>
      <c r="M24" s="32">
        <f>SUM(M8:M23)</f>
        <v>38800442.109999999</v>
      </c>
      <c r="N24" s="32">
        <f>SUM(N8:N23)</f>
        <v>130.00000000000003</v>
      </c>
      <c r="O24" s="32">
        <f>SUM(O8:O23)</f>
        <v>70457345.049999997</v>
      </c>
      <c r="P24" s="32">
        <f>SUM(P8:P23)</f>
        <v>327692882.05000001</v>
      </c>
      <c r="Q24" s="33"/>
    </row>
    <row r="25" spans="1:17" ht="24.75" thickTop="1">
      <c r="B25" s="29"/>
      <c r="C25" s="29"/>
      <c r="D25" s="29"/>
      <c r="E25" s="29"/>
      <c r="F25" s="29"/>
      <c r="G25" s="29"/>
      <c r="H25" s="33"/>
      <c r="I25" s="29"/>
      <c r="J25" s="29"/>
      <c r="K25" s="29"/>
      <c r="L25" s="29"/>
      <c r="M25" s="29"/>
      <c r="N25" s="29"/>
      <c r="O25" s="33"/>
      <c r="P25" s="33"/>
      <c r="Q25" s="29"/>
    </row>
    <row r="26" spans="1:17">
      <c r="B26" s="29"/>
      <c r="C26" s="29"/>
      <c r="D26" s="29"/>
      <c r="E26" s="29"/>
      <c r="F26" s="29"/>
      <c r="G26" s="29"/>
      <c r="H26" s="33"/>
      <c r="I26" s="29"/>
      <c r="J26" s="29"/>
      <c r="K26" s="29"/>
      <c r="L26" s="29"/>
      <c r="M26" s="29"/>
      <c r="N26" s="29"/>
      <c r="O26" s="33"/>
      <c r="P26" s="33"/>
      <c r="Q26" s="29"/>
    </row>
    <row r="27" spans="1:17">
      <c r="E27" s="191"/>
      <c r="F27" s="191"/>
      <c r="G27" s="191"/>
      <c r="H27" s="243"/>
      <c r="I27" s="191"/>
      <c r="J27" s="191"/>
      <c r="K27" s="191"/>
      <c r="L27" s="191"/>
      <c r="M27" s="191"/>
      <c r="N27" s="191"/>
      <c r="O27" s="243"/>
    </row>
    <row r="28" spans="1:17">
      <c r="E28" s="191"/>
      <c r="F28" s="191"/>
      <c r="G28" s="191"/>
      <c r="H28" s="243"/>
      <c r="I28" s="191"/>
      <c r="J28" s="191"/>
      <c r="K28" s="191"/>
      <c r="L28" s="191"/>
      <c r="M28" s="191"/>
      <c r="N28" s="191"/>
      <c r="O28" s="243"/>
      <c r="P28" s="191"/>
    </row>
    <row r="30" spans="1:17">
      <c r="P30" s="516"/>
    </row>
    <row r="31" spans="1:17">
      <c r="P31" s="516"/>
    </row>
  </sheetData>
  <mergeCells count="5">
    <mergeCell ref="O2:P2"/>
    <mergeCell ref="A3:A6"/>
    <mergeCell ref="B3:H3"/>
    <mergeCell ref="I3:O3"/>
    <mergeCell ref="P3:P6"/>
  </mergeCells>
  <pageMargins left="0.31496062992125984" right="0.15748031496062992" top="0.74803149606299213" bottom="0.39370078740157483" header="0.31496062992125984" footer="0.27559055118110237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BK87"/>
  <sheetViews>
    <sheetView zoomScale="70" zoomScaleNormal="70" workbookViewId="0"/>
  </sheetViews>
  <sheetFormatPr defaultColWidth="9.28515625" defaultRowHeight="21.75"/>
  <cols>
    <col min="1" max="1" width="3" style="338" customWidth="1"/>
    <col min="2" max="2" width="81.7109375" style="311" customWidth="1"/>
    <col min="3" max="3" width="20.140625" style="311" bestFit="1" customWidth="1"/>
    <col min="4" max="4" width="18" style="311" bestFit="1" customWidth="1"/>
    <col min="5" max="5" width="16.42578125" style="311" bestFit="1" customWidth="1"/>
    <col min="6" max="6" width="16.140625" style="311" bestFit="1" customWidth="1"/>
    <col min="7" max="7" width="17.5703125" style="312" bestFit="1" customWidth="1"/>
    <col min="8" max="8" width="14.140625" style="311" bestFit="1" customWidth="1"/>
    <col min="9" max="9" width="25.28515625" style="311" customWidth="1"/>
    <col min="10" max="10" width="15.5703125" style="311" bestFit="1" customWidth="1"/>
    <col min="11" max="11" width="6.85546875" style="313" customWidth="1"/>
    <col min="12" max="12" width="9.28515625" style="313"/>
    <col min="13" max="13" width="13.5703125" style="313" bestFit="1" customWidth="1"/>
    <col min="14" max="63" width="9.28515625" style="313"/>
    <col min="64" max="16384" width="9.28515625" style="311"/>
  </cols>
  <sheetData>
    <row r="1" spans="1:63" ht="24">
      <c r="A1" s="310" t="s">
        <v>330</v>
      </c>
    </row>
    <row r="2" spans="1:63" ht="24">
      <c r="A2" s="314"/>
      <c r="B2" s="315"/>
      <c r="H2" s="316"/>
      <c r="I2" s="559" t="s">
        <v>63</v>
      </c>
      <c r="J2" s="559"/>
    </row>
    <row r="3" spans="1:63" s="319" customFormat="1">
      <c r="A3" s="560" t="s">
        <v>7</v>
      </c>
      <c r="B3" s="561"/>
      <c r="C3" s="317" t="s">
        <v>22</v>
      </c>
      <c r="D3" s="317" t="s">
        <v>23</v>
      </c>
      <c r="E3" s="317" t="s">
        <v>24</v>
      </c>
      <c r="F3" s="317" t="s">
        <v>25</v>
      </c>
      <c r="G3" s="317" t="s">
        <v>26</v>
      </c>
      <c r="H3" s="317" t="s">
        <v>5</v>
      </c>
      <c r="I3" s="317" t="s">
        <v>6</v>
      </c>
      <c r="J3" s="317" t="s">
        <v>27</v>
      </c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318"/>
      <c r="AM3" s="318"/>
      <c r="AN3" s="318"/>
      <c r="AO3" s="318"/>
      <c r="AP3" s="318"/>
      <c r="AQ3" s="318"/>
      <c r="AR3" s="318"/>
      <c r="AS3" s="318"/>
      <c r="AT3" s="318"/>
      <c r="AU3" s="318"/>
      <c r="AV3" s="318"/>
      <c r="AW3" s="318"/>
      <c r="AX3" s="318"/>
      <c r="AY3" s="318"/>
      <c r="AZ3" s="318"/>
      <c r="BA3" s="318"/>
      <c r="BB3" s="318"/>
      <c r="BC3" s="318"/>
      <c r="BD3" s="318"/>
      <c r="BE3" s="318"/>
      <c r="BF3" s="318"/>
      <c r="BG3" s="318"/>
      <c r="BH3" s="318"/>
      <c r="BI3" s="318"/>
      <c r="BJ3" s="318"/>
      <c r="BK3" s="318"/>
    </row>
    <row r="4" spans="1:63">
      <c r="A4" s="320" t="s">
        <v>21</v>
      </c>
      <c r="B4" s="321"/>
      <c r="C4" s="286"/>
      <c r="D4" s="284"/>
      <c r="E4" s="284"/>
      <c r="F4" s="284"/>
      <c r="G4" s="293"/>
      <c r="H4" s="285"/>
      <c r="I4" s="284"/>
      <c r="J4" s="284"/>
    </row>
    <row r="5" spans="1:63">
      <c r="A5" s="322" t="s">
        <v>109</v>
      </c>
      <c r="B5" s="323" t="s">
        <v>331</v>
      </c>
      <c r="C5" s="290">
        <f>20%*14790006.3536052</f>
        <v>2958001.2707210402</v>
      </c>
      <c r="D5" s="290">
        <f>20%*3918903.27376495</f>
        <v>783780.65475299011</v>
      </c>
      <c r="E5" s="290">
        <f>20%*1779618.31611781</f>
        <v>355923.66322356206</v>
      </c>
      <c r="F5" s="290">
        <f>20%*4173045.26125858</f>
        <v>834609.05225171603</v>
      </c>
      <c r="G5" s="260">
        <f>SUM(C5:F5)</f>
        <v>4932314.6409493089</v>
      </c>
      <c r="H5" s="283">
        <v>12</v>
      </c>
      <c r="I5" s="323" t="s">
        <v>8</v>
      </c>
      <c r="J5" s="290">
        <f>G5/H5</f>
        <v>411026.22007910907</v>
      </c>
    </row>
    <row r="6" spans="1:63">
      <c r="A6" s="324"/>
      <c r="B6" s="325" t="s">
        <v>332</v>
      </c>
      <c r="C6" s="292"/>
      <c r="D6" s="292"/>
      <c r="E6" s="292"/>
      <c r="F6" s="292"/>
      <c r="G6" s="266"/>
      <c r="H6" s="291"/>
      <c r="I6" s="325"/>
      <c r="J6" s="255"/>
    </row>
    <row r="7" spans="1:63">
      <c r="A7" s="324"/>
      <c r="B7" s="325" t="s">
        <v>333</v>
      </c>
      <c r="C7" s="292">
        <v>2958001.2707210402</v>
      </c>
      <c r="D7" s="292">
        <v>783780.6547529893</v>
      </c>
      <c r="E7" s="292">
        <v>355923.66322356218</v>
      </c>
      <c r="F7" s="292">
        <v>834609.05225171638</v>
      </c>
      <c r="G7" s="266">
        <f>SUM(C7:F7)</f>
        <v>4932314.6409493079</v>
      </c>
      <c r="H7" s="291">
        <v>3</v>
      </c>
      <c r="I7" s="325" t="s">
        <v>8</v>
      </c>
      <c r="J7" s="255">
        <f>G7/H7</f>
        <v>1644104.8803164361</v>
      </c>
    </row>
    <row r="8" spans="1:63">
      <c r="A8" s="324"/>
      <c r="B8" s="325" t="s">
        <v>334</v>
      </c>
      <c r="C8" s="292">
        <v>2958001.2707210402</v>
      </c>
      <c r="D8" s="292">
        <v>783780.6547529893</v>
      </c>
      <c r="E8" s="292">
        <v>355923.66322356218</v>
      </c>
      <c r="F8" s="292">
        <v>834609.05225171638</v>
      </c>
      <c r="G8" s="266">
        <f>SUM(C8:F8)</f>
        <v>4932314.6409493079</v>
      </c>
      <c r="H8" s="291">
        <v>4</v>
      </c>
      <c r="I8" s="325" t="s">
        <v>8</v>
      </c>
      <c r="J8" s="255">
        <f>G8/H8</f>
        <v>1233078.660237327</v>
      </c>
    </row>
    <row r="9" spans="1:63">
      <c r="A9" s="324"/>
      <c r="B9" s="326" t="s">
        <v>335</v>
      </c>
      <c r="C9" s="292"/>
      <c r="D9" s="292"/>
      <c r="E9" s="292"/>
      <c r="F9" s="292"/>
      <c r="G9" s="266"/>
      <c r="H9" s="291"/>
      <c r="I9" s="325"/>
      <c r="J9" s="255"/>
    </row>
    <row r="10" spans="1:63">
      <c r="A10" s="324"/>
      <c r="B10" s="326" t="s">
        <v>336</v>
      </c>
      <c r="C10" s="292">
        <v>2958001.2707210402</v>
      </c>
      <c r="D10" s="292">
        <v>783780.6547529893</v>
      </c>
      <c r="E10" s="292">
        <v>355923.66322356218</v>
      </c>
      <c r="F10" s="292">
        <v>834609.05225171638</v>
      </c>
      <c r="G10" s="266">
        <f>SUM(C10:F10)</f>
        <v>4932314.6409493079</v>
      </c>
      <c r="H10" s="291">
        <v>3</v>
      </c>
      <c r="I10" s="325" t="s">
        <v>8</v>
      </c>
      <c r="J10" s="255">
        <f>G10/H10</f>
        <v>1644104.8803164361</v>
      </c>
    </row>
    <row r="11" spans="1:63">
      <c r="A11" s="324"/>
      <c r="B11" s="326" t="s">
        <v>332</v>
      </c>
      <c r="C11" s="292"/>
      <c r="D11" s="292"/>
      <c r="E11" s="292"/>
      <c r="F11" s="292"/>
      <c r="G11" s="266"/>
      <c r="H11" s="291"/>
      <c r="I11" s="325"/>
      <c r="J11" s="255"/>
    </row>
    <row r="12" spans="1:63">
      <c r="A12" s="324"/>
      <c r="B12" s="326" t="s">
        <v>337</v>
      </c>
      <c r="C12" s="292">
        <v>2958001.2707210402</v>
      </c>
      <c r="D12" s="292">
        <v>783780.6547529893</v>
      </c>
      <c r="E12" s="265">
        <v>355923.66322356218</v>
      </c>
      <c r="F12" s="292">
        <v>834609.05225171638</v>
      </c>
      <c r="G12" s="266">
        <f>SUM(C12:F12)</f>
        <v>4932314.6409493079</v>
      </c>
      <c r="H12" s="291">
        <v>2</v>
      </c>
      <c r="I12" s="325" t="s">
        <v>8</v>
      </c>
      <c r="J12" s="255">
        <f>G12/H12</f>
        <v>2466157.320474654</v>
      </c>
    </row>
    <row r="13" spans="1:63">
      <c r="A13" s="322" t="s">
        <v>110</v>
      </c>
      <c r="B13" s="327" t="s">
        <v>338</v>
      </c>
      <c r="C13" s="290">
        <v>15313430.6241321</v>
      </c>
      <c r="D13" s="290">
        <v>1371795.8306510174</v>
      </c>
      <c r="E13" s="255">
        <v>1539238.3909513284</v>
      </c>
      <c r="F13" s="290">
        <v>3551527.881922198</v>
      </c>
      <c r="G13" s="260">
        <f>SUM(C13:F13)</f>
        <v>21775992.727656644</v>
      </c>
      <c r="H13" s="283">
        <v>61</v>
      </c>
      <c r="I13" s="323" t="s">
        <v>8</v>
      </c>
      <c r="J13" s="258">
        <f>G13/H13</f>
        <v>356983.48733863351</v>
      </c>
    </row>
    <row r="14" spans="1:63">
      <c r="A14" s="328"/>
      <c r="B14" s="329" t="s">
        <v>339</v>
      </c>
      <c r="C14" s="262"/>
      <c r="D14" s="262"/>
      <c r="E14" s="262"/>
      <c r="F14" s="262"/>
      <c r="G14" s="264"/>
      <c r="H14" s="285"/>
      <c r="I14" s="330"/>
      <c r="J14" s="262"/>
    </row>
    <row r="15" spans="1:63">
      <c r="A15" s="322" t="s">
        <v>111</v>
      </c>
      <c r="B15" s="327" t="s">
        <v>198</v>
      </c>
      <c r="C15" s="258">
        <v>15509629.935485411</v>
      </c>
      <c r="D15" s="258">
        <f>3470478.67966729-973624.04</f>
        <v>2496854.6396672898</v>
      </c>
      <c r="E15" s="258">
        <v>1481880.065975111</v>
      </c>
      <c r="F15" s="258">
        <v>3640316.0789702525</v>
      </c>
      <c r="G15" s="260">
        <f>SUM(C15:F15)</f>
        <v>23128680.720098067</v>
      </c>
      <c r="H15" s="289">
        <v>5</v>
      </c>
      <c r="I15" s="331" t="s">
        <v>8</v>
      </c>
      <c r="J15" s="258">
        <f>G15/H15</f>
        <v>4625736.144019613</v>
      </c>
    </row>
    <row r="16" spans="1:63">
      <c r="A16" s="324"/>
      <c r="B16" s="326" t="s">
        <v>199</v>
      </c>
      <c r="C16" s="332"/>
      <c r="D16" s="332"/>
      <c r="E16" s="332"/>
      <c r="F16" s="332"/>
      <c r="G16" s="266"/>
      <c r="H16" s="288"/>
      <c r="I16" s="333"/>
      <c r="J16" s="255"/>
    </row>
    <row r="17" spans="1:63">
      <c r="A17" s="322" t="s">
        <v>114</v>
      </c>
      <c r="B17" s="327" t="s">
        <v>340</v>
      </c>
      <c r="C17" s="258">
        <v>7520442.4257127494</v>
      </c>
      <c r="D17" s="258">
        <v>2706361.4413092332</v>
      </c>
      <c r="E17" s="258">
        <v>796288.47545188072</v>
      </c>
      <c r="F17" s="258">
        <v>1686975.7439130428</v>
      </c>
      <c r="G17" s="260">
        <f>SUM(C17:F17)</f>
        <v>12710068.086386906</v>
      </c>
      <c r="H17" s="287">
        <v>3</v>
      </c>
      <c r="I17" s="325" t="s">
        <v>8</v>
      </c>
      <c r="J17" s="258">
        <f>G17/H17</f>
        <v>4236689.3621289684</v>
      </c>
    </row>
    <row r="18" spans="1:63">
      <c r="A18" s="324"/>
      <c r="B18" s="326" t="s">
        <v>341</v>
      </c>
      <c r="C18" s="332"/>
      <c r="D18" s="332"/>
      <c r="E18" s="332"/>
      <c r="F18" s="332"/>
      <c r="G18" s="266"/>
      <c r="H18" s="282"/>
      <c r="I18" s="286"/>
      <c r="J18" s="255"/>
    </row>
    <row r="19" spans="1:63" s="316" customFormat="1">
      <c r="A19" s="406" t="s">
        <v>115</v>
      </c>
      <c r="B19" s="327" t="s">
        <v>107</v>
      </c>
      <c r="C19" s="290">
        <f>12827201.9065392-740965.35</f>
        <v>12086236.5565392</v>
      </c>
      <c r="D19" s="290">
        <v>1575761.3834394361</v>
      </c>
      <c r="E19" s="290">
        <v>1113966.8556421464</v>
      </c>
      <c r="F19" s="290">
        <v>2397281.3202974829</v>
      </c>
      <c r="G19" s="260">
        <f>SUM(C19:F19)</f>
        <v>17173246.115918268</v>
      </c>
      <c r="H19" s="283">
        <v>5</v>
      </c>
      <c r="I19" s="327" t="s">
        <v>8</v>
      </c>
      <c r="J19" s="290">
        <f>G19/H19</f>
        <v>3434649.2231836533</v>
      </c>
      <c r="K19" s="345"/>
      <c r="L19" s="345"/>
      <c r="M19" s="281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  <c r="AP19" s="345"/>
      <c r="AQ19" s="345"/>
      <c r="AR19" s="345"/>
      <c r="AS19" s="345"/>
      <c r="AT19" s="345"/>
      <c r="AU19" s="345"/>
      <c r="AV19" s="345"/>
      <c r="AW19" s="345"/>
      <c r="AX19" s="345"/>
      <c r="AY19" s="345"/>
      <c r="AZ19" s="345"/>
      <c r="BA19" s="345"/>
      <c r="BB19" s="345"/>
      <c r="BC19" s="345"/>
      <c r="BD19" s="345"/>
      <c r="BE19" s="345"/>
      <c r="BF19" s="345"/>
      <c r="BG19" s="345"/>
      <c r="BH19" s="345"/>
      <c r="BI19" s="345"/>
      <c r="BJ19" s="345"/>
      <c r="BK19" s="345"/>
    </row>
    <row r="20" spans="1:63" s="316" customFormat="1">
      <c r="A20" s="407"/>
      <c r="B20" s="326" t="s">
        <v>116</v>
      </c>
      <c r="C20" s="292"/>
      <c r="D20" s="292"/>
      <c r="E20" s="292"/>
      <c r="F20" s="292"/>
      <c r="G20" s="266"/>
      <c r="H20" s="512"/>
      <c r="I20" s="326"/>
      <c r="J20" s="292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5"/>
      <c r="BA20" s="345"/>
      <c r="BB20" s="345"/>
      <c r="BC20" s="345"/>
      <c r="BD20" s="345"/>
      <c r="BE20" s="345"/>
      <c r="BF20" s="345"/>
      <c r="BG20" s="345"/>
      <c r="BH20" s="345"/>
      <c r="BI20" s="345"/>
      <c r="BJ20" s="345"/>
      <c r="BK20" s="345"/>
    </row>
    <row r="21" spans="1:63" s="316" customFormat="1">
      <c r="A21" s="406" t="s">
        <v>117</v>
      </c>
      <c r="B21" s="327" t="s">
        <v>293</v>
      </c>
      <c r="C21" s="290">
        <v>12340345.006012291</v>
      </c>
      <c r="D21" s="290">
        <v>2482741.4365533646</v>
      </c>
      <c r="E21" s="290">
        <v>1170265.9708086289</v>
      </c>
      <c r="F21" s="290">
        <v>3018798.6996338656</v>
      </c>
      <c r="G21" s="260">
        <f>SUM(C21:F21)</f>
        <v>19012151.113008149</v>
      </c>
      <c r="H21" s="283">
        <v>16</v>
      </c>
      <c r="I21" s="327" t="s">
        <v>342</v>
      </c>
      <c r="J21" s="290">
        <f>G21/H21</f>
        <v>1188259.4445630093</v>
      </c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  <c r="AP21" s="345"/>
      <c r="AQ21" s="345"/>
      <c r="AR21" s="345"/>
      <c r="AS21" s="345"/>
      <c r="AT21" s="345"/>
      <c r="AU21" s="345"/>
      <c r="AV21" s="345"/>
      <c r="AW21" s="345"/>
      <c r="AX21" s="345"/>
      <c r="AY21" s="345"/>
      <c r="AZ21" s="345"/>
      <c r="BA21" s="345"/>
      <c r="BB21" s="345"/>
      <c r="BC21" s="345"/>
      <c r="BD21" s="345"/>
      <c r="BE21" s="345"/>
      <c r="BF21" s="345"/>
      <c r="BG21" s="345"/>
      <c r="BH21" s="345"/>
      <c r="BI21" s="345"/>
      <c r="BJ21" s="345"/>
      <c r="BK21" s="345"/>
    </row>
    <row r="22" spans="1:63" s="316" customFormat="1">
      <c r="A22" s="408"/>
      <c r="B22" s="329" t="s">
        <v>292</v>
      </c>
      <c r="C22" s="265"/>
      <c r="D22" s="265"/>
      <c r="E22" s="265"/>
      <c r="F22" s="265"/>
      <c r="G22" s="264"/>
      <c r="H22" s="409"/>
      <c r="I22" s="329"/>
      <c r="J22" s="26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  <c r="AP22" s="345"/>
      <c r="AQ22" s="345"/>
      <c r="AR22" s="345"/>
      <c r="AS22" s="345"/>
      <c r="AT22" s="345"/>
      <c r="AU22" s="345"/>
      <c r="AV22" s="345"/>
      <c r="AW22" s="345"/>
      <c r="AX22" s="345"/>
      <c r="AY22" s="345"/>
      <c r="AZ22" s="345"/>
      <c r="BA22" s="345"/>
      <c r="BB22" s="345"/>
      <c r="BC22" s="345"/>
      <c r="BD22" s="345"/>
      <c r="BE22" s="345"/>
      <c r="BF22" s="345"/>
      <c r="BG22" s="345"/>
      <c r="BH22" s="345"/>
      <c r="BI22" s="345"/>
      <c r="BJ22" s="345"/>
      <c r="BK22" s="345"/>
    </row>
    <row r="23" spans="1:63" s="316" customFormat="1">
      <c r="A23" s="406" t="s">
        <v>120</v>
      </c>
      <c r="B23" s="327" t="s">
        <v>107</v>
      </c>
      <c r="C23" s="290">
        <v>49224362.056012303</v>
      </c>
      <c r="D23" s="290">
        <v>1925703.4065533639</v>
      </c>
      <c r="E23" s="290">
        <v>1492192.9608086287</v>
      </c>
      <c r="F23" s="290">
        <v>3018798.6996338661</v>
      </c>
      <c r="G23" s="260">
        <f>SUM(C23:F23)</f>
        <v>55661057.123008162</v>
      </c>
      <c r="H23" s="283">
        <v>4</v>
      </c>
      <c r="I23" s="326" t="s">
        <v>8</v>
      </c>
      <c r="J23" s="290">
        <f>G23/H23</f>
        <v>13915264.28075204</v>
      </c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  <c r="AP23" s="345"/>
      <c r="AQ23" s="345"/>
      <c r="AR23" s="345"/>
      <c r="AS23" s="345"/>
      <c r="AT23" s="345"/>
      <c r="AU23" s="345"/>
      <c r="AV23" s="345"/>
      <c r="AW23" s="345"/>
      <c r="AX23" s="345"/>
      <c r="AY23" s="345"/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5"/>
      <c r="BK23" s="345"/>
    </row>
    <row r="24" spans="1:63" s="316" customFormat="1">
      <c r="A24" s="407"/>
      <c r="B24" s="326" t="s">
        <v>119</v>
      </c>
      <c r="C24" s="292"/>
      <c r="D24" s="292"/>
      <c r="E24" s="292"/>
      <c r="F24" s="292"/>
      <c r="G24" s="266"/>
      <c r="H24" s="291"/>
      <c r="I24" s="326"/>
      <c r="J24" s="292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  <c r="AP24" s="345"/>
      <c r="AQ24" s="345"/>
      <c r="AR24" s="345"/>
      <c r="AS24" s="345"/>
      <c r="AT24" s="345"/>
      <c r="AU24" s="345"/>
      <c r="AV24" s="345"/>
      <c r="AW24" s="345"/>
      <c r="AX24" s="345"/>
      <c r="AY24" s="345"/>
      <c r="AZ24" s="345"/>
      <c r="BA24" s="345"/>
      <c r="BB24" s="345"/>
      <c r="BC24" s="345"/>
      <c r="BD24" s="345"/>
      <c r="BE24" s="345"/>
      <c r="BF24" s="345"/>
      <c r="BG24" s="345"/>
      <c r="BH24" s="345"/>
      <c r="BI24" s="345"/>
      <c r="BJ24" s="345"/>
      <c r="BK24" s="345"/>
    </row>
    <row r="25" spans="1:63" s="316" customFormat="1">
      <c r="A25" s="407"/>
      <c r="B25" s="326" t="s">
        <v>255</v>
      </c>
      <c r="C25" s="265"/>
      <c r="D25" s="265"/>
      <c r="E25" s="265"/>
      <c r="F25" s="265"/>
      <c r="G25" s="266"/>
      <c r="H25" s="291"/>
      <c r="I25" s="410"/>
      <c r="J25" s="292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  <c r="AP25" s="345"/>
      <c r="AQ25" s="345"/>
      <c r="AR25" s="345"/>
      <c r="AS25" s="345"/>
      <c r="AT25" s="345"/>
      <c r="AU25" s="345"/>
      <c r="AV25" s="345"/>
      <c r="AW25" s="345"/>
      <c r="AX25" s="345"/>
      <c r="AY25" s="345"/>
      <c r="AZ25" s="345"/>
      <c r="BA25" s="345"/>
      <c r="BB25" s="345"/>
      <c r="BC25" s="345"/>
      <c r="BD25" s="345"/>
      <c r="BE25" s="345"/>
      <c r="BF25" s="345"/>
      <c r="BG25" s="345"/>
      <c r="BH25" s="345"/>
      <c r="BI25" s="345"/>
      <c r="BJ25" s="345"/>
      <c r="BK25" s="345"/>
    </row>
    <row r="26" spans="1:63" s="316" customFormat="1">
      <c r="A26" s="411" t="s">
        <v>129</v>
      </c>
      <c r="B26" s="327" t="s">
        <v>122</v>
      </c>
      <c r="C26" s="290">
        <v>32904460.078606736</v>
      </c>
      <c r="D26" s="290">
        <v>392.08988764044943</v>
      </c>
      <c r="E26" s="290">
        <v>95847.71460674156</v>
      </c>
      <c r="F26" s="290">
        <v>0</v>
      </c>
      <c r="G26" s="260">
        <f>SUM(C26:F26)</f>
        <v>33000699.883101121</v>
      </c>
      <c r="H26" s="283">
        <v>3</v>
      </c>
      <c r="I26" s="412" t="s">
        <v>8</v>
      </c>
      <c r="J26" s="290">
        <f>G26/H26</f>
        <v>11000233.29436704</v>
      </c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  <c r="AP26" s="345"/>
      <c r="AQ26" s="345"/>
      <c r="AR26" s="345"/>
      <c r="AS26" s="345"/>
      <c r="AT26" s="345"/>
      <c r="AU26" s="345"/>
      <c r="AV26" s="345"/>
      <c r="AW26" s="345"/>
      <c r="AX26" s="345"/>
      <c r="AY26" s="345"/>
      <c r="AZ26" s="345"/>
      <c r="BA26" s="345"/>
      <c r="BB26" s="345"/>
      <c r="BC26" s="345"/>
      <c r="BD26" s="345"/>
      <c r="BE26" s="345"/>
      <c r="BF26" s="345"/>
      <c r="BG26" s="345"/>
      <c r="BH26" s="345"/>
      <c r="BI26" s="345"/>
      <c r="BJ26" s="345"/>
      <c r="BK26" s="345"/>
    </row>
    <row r="27" spans="1:63" s="316" customFormat="1">
      <c r="A27" s="408"/>
      <c r="B27" s="329" t="s">
        <v>123</v>
      </c>
      <c r="C27" s="292"/>
      <c r="D27" s="292"/>
      <c r="E27" s="292"/>
      <c r="F27" s="292"/>
      <c r="G27" s="264"/>
      <c r="H27" s="409"/>
      <c r="I27" s="413"/>
      <c r="J27" s="26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  <c r="AP27" s="345"/>
      <c r="AQ27" s="345"/>
      <c r="AR27" s="345"/>
      <c r="AS27" s="345"/>
      <c r="AT27" s="345"/>
      <c r="AU27" s="345"/>
      <c r="AV27" s="345"/>
      <c r="AW27" s="345"/>
      <c r="AX27" s="345"/>
      <c r="AY27" s="345"/>
      <c r="AZ27" s="345"/>
      <c r="BA27" s="345"/>
      <c r="BB27" s="345"/>
      <c r="BC27" s="345"/>
      <c r="BD27" s="345"/>
      <c r="BE27" s="345"/>
      <c r="BF27" s="345"/>
      <c r="BG27" s="345"/>
      <c r="BH27" s="345"/>
      <c r="BI27" s="345"/>
      <c r="BJ27" s="345"/>
      <c r="BK27" s="345"/>
    </row>
    <row r="28" spans="1:63" s="316" customFormat="1">
      <c r="A28" s="406" t="s">
        <v>121</v>
      </c>
      <c r="B28" s="414" t="s">
        <v>392</v>
      </c>
      <c r="C28" s="290">
        <f>(7382362.91571275*$C$34)-(606675/2)</f>
        <v>3387843.9578563748</v>
      </c>
      <c r="D28" s="290">
        <f>1059670.86130923*C34</f>
        <v>529835.43065461505</v>
      </c>
      <c r="E28" s="290">
        <f>725907.205451881*C34</f>
        <v>362953.60272594052</v>
      </c>
      <c r="F28" s="290">
        <f>1686975.74391304*C34</f>
        <v>843487.87195652002</v>
      </c>
      <c r="G28" s="415">
        <f>SUM(C28:F28)</f>
        <v>5124120.8631934505</v>
      </c>
      <c r="H28" s="283">
        <v>12</v>
      </c>
      <c r="I28" s="326" t="s">
        <v>8</v>
      </c>
      <c r="J28" s="290">
        <f>G28/H28</f>
        <v>427010.07193278754</v>
      </c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  <c r="AP28" s="345"/>
      <c r="AQ28" s="345"/>
      <c r="AR28" s="345"/>
      <c r="AS28" s="345"/>
      <c r="AT28" s="345"/>
      <c r="AU28" s="345"/>
      <c r="AV28" s="345"/>
      <c r="AW28" s="345"/>
      <c r="AX28" s="345"/>
      <c r="AY28" s="345"/>
      <c r="AZ28" s="345"/>
      <c r="BA28" s="345"/>
      <c r="BB28" s="345"/>
      <c r="BC28" s="345"/>
      <c r="BD28" s="345"/>
      <c r="BE28" s="345"/>
      <c r="BF28" s="345"/>
      <c r="BG28" s="345"/>
      <c r="BH28" s="345"/>
      <c r="BI28" s="345"/>
      <c r="BJ28" s="345"/>
      <c r="BK28" s="345"/>
    </row>
    <row r="29" spans="1:63" s="316" customFormat="1">
      <c r="A29" s="407"/>
      <c r="B29" s="345" t="s">
        <v>393</v>
      </c>
      <c r="C29" s="265">
        <f>3691181.45785637-(606675/2)</f>
        <v>3387843.9578563701</v>
      </c>
      <c r="D29" s="265">
        <v>529835.43065461505</v>
      </c>
      <c r="E29" s="265">
        <v>362953.60272594052</v>
      </c>
      <c r="F29" s="416">
        <v>843487.87195652002</v>
      </c>
      <c r="G29" s="417">
        <f>SUM(C29:F29)</f>
        <v>5124120.8631934458</v>
      </c>
      <c r="H29" s="291">
        <v>75</v>
      </c>
      <c r="I29" s="326" t="s">
        <v>8</v>
      </c>
      <c r="J29" s="292">
        <f>G29/H29</f>
        <v>68321.611509245951</v>
      </c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5"/>
      <c r="AT29" s="345"/>
      <c r="AU29" s="345"/>
      <c r="AV29" s="345"/>
      <c r="AW29" s="345"/>
      <c r="AX29" s="345"/>
      <c r="AY29" s="345"/>
      <c r="AZ29" s="345"/>
      <c r="BA29" s="345"/>
      <c r="BB29" s="345"/>
      <c r="BC29" s="345"/>
      <c r="BD29" s="345"/>
      <c r="BE29" s="345"/>
      <c r="BF29" s="345"/>
      <c r="BG29" s="345"/>
      <c r="BH29" s="345"/>
      <c r="BI29" s="345"/>
      <c r="BJ29" s="345"/>
      <c r="BK29" s="345"/>
    </row>
    <row r="30" spans="1:63">
      <c r="A30" s="334" t="s">
        <v>125</v>
      </c>
      <c r="B30" s="323" t="s">
        <v>107</v>
      </c>
      <c r="C30" s="255">
        <v>16755668.460072197</v>
      </c>
      <c r="D30" s="255">
        <v>3938711.2036021901</v>
      </c>
      <c r="E30" s="255">
        <v>1152905.1758799783</v>
      </c>
      <c r="F30" s="255">
        <v>3285163.2907780292</v>
      </c>
      <c r="G30" s="260">
        <f>SUM(C30:F30)</f>
        <v>25132448.130332395</v>
      </c>
      <c r="H30" s="283">
        <v>3</v>
      </c>
      <c r="I30" s="331" t="s">
        <v>8</v>
      </c>
      <c r="J30" s="258">
        <f>G30/H30</f>
        <v>8377482.7101107985</v>
      </c>
    </row>
    <row r="31" spans="1:63">
      <c r="A31" s="324"/>
      <c r="B31" s="325" t="s">
        <v>343</v>
      </c>
      <c r="C31" s="255"/>
      <c r="D31" s="255"/>
      <c r="E31" s="255"/>
      <c r="F31" s="255"/>
      <c r="G31" s="257"/>
      <c r="H31" s="282"/>
      <c r="I31" s="262"/>
      <c r="J31" s="255"/>
    </row>
    <row r="32" spans="1:63" s="316" customFormat="1">
      <c r="A32" s="420" t="s">
        <v>134</v>
      </c>
      <c r="B32" s="343" t="s">
        <v>124</v>
      </c>
      <c r="C32" s="272">
        <f>740965.35+606675</f>
        <v>1347640.35</v>
      </c>
      <c r="D32" s="272">
        <v>973624.04</v>
      </c>
      <c r="E32" s="272">
        <v>0</v>
      </c>
      <c r="F32" s="272">
        <v>0</v>
      </c>
      <c r="G32" s="268">
        <f>SUM(C32:F32)</f>
        <v>2321264.39</v>
      </c>
      <c r="H32" s="421">
        <v>2</v>
      </c>
      <c r="I32" s="344" t="s">
        <v>8</v>
      </c>
      <c r="J32" s="272">
        <f>G32/H32</f>
        <v>1160632.1950000001</v>
      </c>
      <c r="K32" s="345"/>
      <c r="L32" s="345"/>
      <c r="M32" s="345"/>
      <c r="N32" s="422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345"/>
      <c r="BI32" s="345"/>
      <c r="BJ32" s="345"/>
      <c r="BK32" s="345"/>
    </row>
    <row r="33" spans="1:63">
      <c r="A33" s="335"/>
      <c r="B33" s="313"/>
      <c r="C33" s="281"/>
      <c r="D33" s="281"/>
      <c r="E33" s="281"/>
      <c r="F33" s="281"/>
      <c r="G33" s="280"/>
      <c r="H33" s="279"/>
      <c r="I33" s="313"/>
      <c r="J33" s="276"/>
      <c r="N33" s="336"/>
    </row>
    <row r="34" spans="1:63" s="313" customFormat="1">
      <c r="A34" s="335"/>
      <c r="C34" s="515">
        <v>0.5</v>
      </c>
      <c r="D34" s="514"/>
      <c r="E34" s="278"/>
      <c r="F34" s="278"/>
      <c r="G34" s="277"/>
      <c r="H34" s="276"/>
      <c r="I34" s="276"/>
      <c r="J34" s="276"/>
    </row>
    <row r="35" spans="1:63" s="313" customFormat="1">
      <c r="A35" s="335"/>
      <c r="C35" s="278"/>
      <c r="D35" s="278"/>
      <c r="E35" s="278"/>
      <c r="F35" s="278"/>
      <c r="G35" s="277"/>
      <c r="H35" s="276"/>
      <c r="I35" s="276"/>
      <c r="J35" s="276"/>
    </row>
    <row r="36" spans="1:63" ht="24">
      <c r="A36" s="337" t="s">
        <v>330</v>
      </c>
    </row>
    <row r="37" spans="1:63" ht="24">
      <c r="B37" s="315"/>
      <c r="H37" s="316"/>
      <c r="I37" s="562" t="s">
        <v>63</v>
      </c>
      <c r="J37" s="562"/>
    </row>
    <row r="38" spans="1:63" s="339" customFormat="1">
      <c r="A38" s="560" t="s">
        <v>7</v>
      </c>
      <c r="B38" s="561"/>
      <c r="C38" s="317" t="s">
        <v>22</v>
      </c>
      <c r="D38" s="317" t="s">
        <v>23</v>
      </c>
      <c r="E38" s="317" t="s">
        <v>24</v>
      </c>
      <c r="F38" s="317" t="s">
        <v>25</v>
      </c>
      <c r="G38" s="317" t="s">
        <v>26</v>
      </c>
      <c r="H38" s="317" t="s">
        <v>5</v>
      </c>
      <c r="I38" s="317" t="s">
        <v>6</v>
      </c>
      <c r="J38" s="317" t="s">
        <v>27</v>
      </c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</row>
    <row r="39" spans="1:63">
      <c r="A39" s="340" t="s">
        <v>20</v>
      </c>
      <c r="B39" s="341"/>
      <c r="C39" s="262"/>
      <c r="D39" s="267"/>
      <c r="E39" s="267"/>
      <c r="F39" s="267"/>
      <c r="G39" s="275"/>
      <c r="H39" s="274"/>
      <c r="I39" s="273"/>
      <c r="J39" s="262"/>
    </row>
    <row r="40" spans="1:63" s="316" customFormat="1">
      <c r="A40" s="342" t="s">
        <v>109</v>
      </c>
      <c r="B40" s="343" t="s">
        <v>344</v>
      </c>
      <c r="C40" s="272">
        <v>2563733.6491017737</v>
      </c>
      <c r="D40" s="272">
        <v>671174.01561760111</v>
      </c>
      <c r="E40" s="272">
        <v>321655.30787722091</v>
      </c>
      <c r="F40" s="272">
        <v>941598.82969462289</v>
      </c>
      <c r="G40" s="268">
        <f t="shared" ref="G40:G51" si="0">SUM(C40:F40)</f>
        <v>4498161.8022912191</v>
      </c>
      <c r="H40" s="269">
        <v>8458</v>
      </c>
      <c r="I40" s="344" t="s">
        <v>10</v>
      </c>
      <c r="J40" s="265">
        <f t="shared" ref="J40:J46" si="1">G40/H40</f>
        <v>531.82333912168588</v>
      </c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5"/>
      <c r="BD40" s="345"/>
      <c r="BE40" s="345"/>
      <c r="BF40" s="345"/>
      <c r="BG40" s="345"/>
      <c r="BH40" s="345"/>
      <c r="BI40" s="345"/>
      <c r="BJ40" s="345"/>
      <c r="BK40" s="345"/>
    </row>
    <row r="41" spans="1:63" s="316" customFormat="1">
      <c r="A41" s="342" t="s">
        <v>110</v>
      </c>
      <c r="B41" s="343" t="s">
        <v>345</v>
      </c>
      <c r="C41" s="272">
        <v>854577.88303392474</v>
      </c>
      <c r="D41" s="272">
        <v>223724.67187253371</v>
      </c>
      <c r="E41" s="272">
        <v>107218.43595907364</v>
      </c>
      <c r="F41" s="272">
        <v>313866.27656487422</v>
      </c>
      <c r="G41" s="268">
        <f t="shared" si="0"/>
        <v>1499387.2674304063</v>
      </c>
      <c r="H41" s="271">
        <v>2150030000</v>
      </c>
      <c r="I41" s="346" t="s">
        <v>282</v>
      </c>
      <c r="J41" s="270">
        <f t="shared" si="1"/>
        <v>6.9737969583234013E-4</v>
      </c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  <c r="AP41" s="345"/>
      <c r="AQ41" s="345"/>
      <c r="AR41" s="345"/>
      <c r="AS41" s="345"/>
      <c r="AT41" s="345"/>
      <c r="AU41" s="345"/>
      <c r="AV41" s="345"/>
      <c r="AW41" s="345"/>
      <c r="AX41" s="345"/>
      <c r="AY41" s="345"/>
      <c r="AZ41" s="345"/>
      <c r="BA41" s="345"/>
      <c r="BB41" s="345"/>
      <c r="BC41" s="345"/>
      <c r="BD41" s="345"/>
      <c r="BE41" s="345"/>
      <c r="BF41" s="345"/>
      <c r="BG41" s="345"/>
      <c r="BH41" s="345"/>
      <c r="BI41" s="345"/>
      <c r="BJ41" s="345"/>
      <c r="BK41" s="345"/>
    </row>
    <row r="42" spans="1:63" s="316" customFormat="1">
      <c r="A42" s="342" t="s">
        <v>111</v>
      </c>
      <c r="B42" s="343" t="s">
        <v>346</v>
      </c>
      <c r="C42" s="272">
        <v>6584410.520110582</v>
      </c>
      <c r="D42" s="272">
        <v>1994863.0112693666</v>
      </c>
      <c r="E42" s="272">
        <v>766346.57035728812</v>
      </c>
      <c r="F42" s="272">
        <v>2080485.033230023</v>
      </c>
      <c r="G42" s="268">
        <f t="shared" si="0"/>
        <v>11426105.13496726</v>
      </c>
      <c r="H42" s="269">
        <v>234</v>
      </c>
      <c r="I42" s="344" t="s">
        <v>347</v>
      </c>
      <c r="J42" s="265">
        <f t="shared" si="1"/>
        <v>48829.509123791708</v>
      </c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  <c r="AO42" s="345"/>
      <c r="AP42" s="345"/>
      <c r="AQ42" s="345"/>
      <c r="AR42" s="345"/>
      <c r="AS42" s="345"/>
      <c r="AT42" s="345"/>
      <c r="AU42" s="345"/>
      <c r="AV42" s="345"/>
      <c r="AW42" s="345"/>
      <c r="AX42" s="345"/>
      <c r="AY42" s="345"/>
      <c r="AZ42" s="345"/>
      <c r="BA42" s="345"/>
      <c r="BB42" s="345"/>
      <c r="BC42" s="345"/>
      <c r="BD42" s="345"/>
      <c r="BE42" s="345"/>
      <c r="BF42" s="345"/>
      <c r="BG42" s="345"/>
      <c r="BH42" s="345"/>
      <c r="BI42" s="345"/>
      <c r="BJ42" s="345"/>
      <c r="BK42" s="345"/>
    </row>
    <row r="43" spans="1:63" s="316" customFormat="1">
      <c r="A43" s="342" t="s">
        <v>114</v>
      </c>
      <c r="B43" s="343" t="s">
        <v>348</v>
      </c>
      <c r="C43" s="272">
        <v>823051.31501382275</v>
      </c>
      <c r="D43" s="272">
        <v>249357.87640867083</v>
      </c>
      <c r="E43" s="272">
        <v>95793.321294661015</v>
      </c>
      <c r="F43" s="272">
        <v>260060.62915375287</v>
      </c>
      <c r="G43" s="268">
        <f t="shared" si="0"/>
        <v>1428263.1418709075</v>
      </c>
      <c r="H43" s="269">
        <v>89709</v>
      </c>
      <c r="I43" s="344" t="s">
        <v>174</v>
      </c>
      <c r="J43" s="265">
        <f t="shared" si="1"/>
        <v>15.921068586996929</v>
      </c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</row>
    <row r="44" spans="1:63" s="316" customFormat="1">
      <c r="A44" s="342" t="s">
        <v>115</v>
      </c>
      <c r="B44" s="343" t="s">
        <v>349</v>
      </c>
      <c r="C44" s="272">
        <v>823051.31501382275</v>
      </c>
      <c r="D44" s="272">
        <v>249357.87640867083</v>
      </c>
      <c r="E44" s="272">
        <v>95793.321294661015</v>
      </c>
      <c r="F44" s="272">
        <v>260060.62915375287</v>
      </c>
      <c r="G44" s="268">
        <f t="shared" si="0"/>
        <v>1428263.1418709075</v>
      </c>
      <c r="H44" s="269">
        <v>2</v>
      </c>
      <c r="I44" s="344" t="s">
        <v>347</v>
      </c>
      <c r="J44" s="265">
        <f t="shared" si="1"/>
        <v>714131.57093545375</v>
      </c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</row>
    <row r="45" spans="1:63" s="316" customFormat="1">
      <c r="A45" s="342" t="s">
        <v>117</v>
      </c>
      <c r="B45" s="343" t="s">
        <v>474</v>
      </c>
      <c r="C45" s="272">
        <v>4315164.6336424816</v>
      </c>
      <c r="D45" s="272">
        <v>1078319.0356646413</v>
      </c>
      <c r="E45" s="272">
        <v>461402.55052810925</v>
      </c>
      <c r="F45" s="272">
        <v>1318238.3615724724</v>
      </c>
      <c r="G45" s="268">
        <f t="shared" si="0"/>
        <v>7173124.5814077044</v>
      </c>
      <c r="H45" s="269">
        <v>452</v>
      </c>
      <c r="I45" s="344" t="s">
        <v>11</v>
      </c>
      <c r="J45" s="265">
        <f t="shared" si="1"/>
        <v>15869.74464913209</v>
      </c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</row>
    <row r="46" spans="1:63" s="316" customFormat="1">
      <c r="A46" s="411" t="s">
        <v>120</v>
      </c>
      <c r="B46" s="343" t="s">
        <v>127</v>
      </c>
      <c r="C46" s="272">
        <v>4583317.6069346843</v>
      </c>
      <c r="D46" s="272">
        <v>4096070.8528515059</v>
      </c>
      <c r="E46" s="272">
        <v>272491.56219216826</v>
      </c>
      <c r="F46" s="272">
        <v>717408.632148284</v>
      </c>
      <c r="G46" s="268">
        <f t="shared" si="0"/>
        <v>9669288.6541266423</v>
      </c>
      <c r="H46" s="269">
        <v>28494</v>
      </c>
      <c r="I46" s="344" t="s">
        <v>475</v>
      </c>
      <c r="J46" s="265">
        <f t="shared" si="1"/>
        <v>339.34472710488672</v>
      </c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  <c r="AO46" s="345"/>
      <c r="AP46" s="345"/>
      <c r="AQ46" s="345"/>
      <c r="AR46" s="345"/>
      <c r="AS46" s="345"/>
      <c r="AT46" s="345"/>
      <c r="AU46" s="345"/>
      <c r="AV46" s="345"/>
      <c r="AW46" s="345"/>
      <c r="AX46" s="345"/>
      <c r="AY46" s="345"/>
      <c r="AZ46" s="345"/>
      <c r="BA46" s="345"/>
      <c r="BB46" s="345"/>
      <c r="BC46" s="345"/>
      <c r="BD46" s="345"/>
      <c r="BE46" s="345"/>
      <c r="BF46" s="345"/>
      <c r="BG46" s="345"/>
      <c r="BH46" s="345"/>
      <c r="BI46" s="345"/>
      <c r="BJ46" s="345"/>
      <c r="BK46" s="345"/>
    </row>
    <row r="47" spans="1:63" s="316" customFormat="1">
      <c r="A47" s="411" t="s">
        <v>129</v>
      </c>
      <c r="B47" s="327" t="s">
        <v>473</v>
      </c>
      <c r="C47" s="272">
        <v>88064.584360050663</v>
      </c>
      <c r="D47" s="272">
        <v>22006.510931931458</v>
      </c>
      <c r="E47" s="272">
        <v>9416.378582206311</v>
      </c>
      <c r="F47" s="272">
        <v>26902.823705560659</v>
      </c>
      <c r="G47" s="268">
        <f>SUM(C47:F47)</f>
        <v>146390.29757974908</v>
      </c>
      <c r="H47" s="269">
        <v>0</v>
      </c>
      <c r="I47" s="344" t="s">
        <v>8</v>
      </c>
      <c r="J47" s="272">
        <v>0</v>
      </c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</row>
    <row r="48" spans="1:63" s="316" customFormat="1">
      <c r="A48" s="411" t="s">
        <v>121</v>
      </c>
      <c r="B48" s="327" t="s">
        <v>263</v>
      </c>
      <c r="C48" s="272">
        <v>4685385.0032035448</v>
      </c>
      <c r="D48" s="272">
        <v>1297278.0812352013</v>
      </c>
      <c r="E48" s="272">
        <v>640251.180754442</v>
      </c>
      <c r="F48" s="272">
        <v>1883197.6593892458</v>
      </c>
      <c r="G48" s="268">
        <f>SUM(C48:F48)</f>
        <v>8506111.924582433</v>
      </c>
      <c r="H48" s="269">
        <v>37725</v>
      </c>
      <c r="I48" s="344" t="s">
        <v>180</v>
      </c>
      <c r="J48" s="265">
        <f t="shared" ref="J48:J53" si="2">G48/H48</f>
        <v>225.47679057872585</v>
      </c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  <c r="AM48" s="345"/>
      <c r="AN48" s="345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345"/>
      <c r="BA48" s="345"/>
      <c r="BB48" s="345"/>
      <c r="BC48" s="345"/>
      <c r="BD48" s="345"/>
      <c r="BE48" s="345"/>
      <c r="BF48" s="345"/>
      <c r="BG48" s="345"/>
      <c r="BH48" s="345"/>
      <c r="BI48" s="345"/>
      <c r="BJ48" s="345"/>
      <c r="BK48" s="345"/>
    </row>
    <row r="49" spans="1:63" s="518" customFormat="1">
      <c r="A49" s="411" t="s">
        <v>125</v>
      </c>
      <c r="B49" s="327" t="s">
        <v>350</v>
      </c>
      <c r="C49" s="261">
        <v>2800972.7072016466</v>
      </c>
      <c r="D49" s="261">
        <v>888622.13128777209</v>
      </c>
      <c r="E49" s="261">
        <v>309510.08142170508</v>
      </c>
      <c r="F49" s="261">
        <v>874341.77043072088</v>
      </c>
      <c r="G49" s="260">
        <f t="shared" si="0"/>
        <v>4873446.6903418452</v>
      </c>
      <c r="H49" s="259">
        <v>330</v>
      </c>
      <c r="I49" s="412" t="s">
        <v>284</v>
      </c>
      <c r="J49" s="290">
        <f t="shared" si="2"/>
        <v>14768.020273763168</v>
      </c>
      <c r="K49" s="517"/>
      <c r="L49" s="517"/>
      <c r="M49" s="517"/>
      <c r="N49" s="517"/>
      <c r="O49" s="517"/>
      <c r="P49" s="517"/>
      <c r="Q49" s="517"/>
      <c r="R49" s="517"/>
      <c r="S49" s="517"/>
      <c r="T49" s="517"/>
      <c r="U49" s="517"/>
      <c r="V49" s="517"/>
      <c r="W49" s="517"/>
      <c r="X49" s="517"/>
      <c r="Y49" s="517"/>
      <c r="Z49" s="517"/>
      <c r="AA49" s="517"/>
      <c r="AB49" s="517"/>
      <c r="AC49" s="517"/>
      <c r="AD49" s="517"/>
      <c r="AE49" s="517"/>
      <c r="AF49" s="517"/>
      <c r="AG49" s="517"/>
      <c r="AH49" s="517"/>
      <c r="AI49" s="517"/>
      <c r="AJ49" s="517"/>
      <c r="AK49" s="517"/>
      <c r="AL49" s="517"/>
      <c r="AM49" s="517"/>
      <c r="AN49" s="517"/>
      <c r="AO49" s="517"/>
      <c r="AP49" s="517"/>
      <c r="AQ49" s="517"/>
      <c r="AR49" s="517"/>
      <c r="AS49" s="517"/>
      <c r="AT49" s="517"/>
      <c r="AU49" s="517"/>
      <c r="AV49" s="517"/>
      <c r="AW49" s="517"/>
      <c r="AX49" s="517"/>
      <c r="AY49" s="517"/>
      <c r="AZ49" s="517"/>
      <c r="BA49" s="517"/>
      <c r="BB49" s="517"/>
      <c r="BC49" s="517"/>
      <c r="BD49" s="517"/>
      <c r="BE49" s="517"/>
      <c r="BF49" s="517"/>
      <c r="BG49" s="517"/>
      <c r="BH49" s="517"/>
      <c r="BI49" s="517"/>
      <c r="BJ49" s="517"/>
      <c r="BK49" s="517"/>
    </row>
    <row r="50" spans="1:63" s="518" customFormat="1">
      <c r="A50" s="411" t="s">
        <v>134</v>
      </c>
      <c r="B50" s="327" t="s">
        <v>351</v>
      </c>
      <c r="C50" s="261">
        <v>933657.56906721555</v>
      </c>
      <c r="D50" s="261">
        <v>296207.37709592405</v>
      </c>
      <c r="E50" s="261">
        <v>103170.02714056836</v>
      </c>
      <c r="F50" s="261">
        <v>291447.25681024027</v>
      </c>
      <c r="G50" s="260">
        <f t="shared" si="0"/>
        <v>1624482.230113948</v>
      </c>
      <c r="H50" s="259">
        <v>100</v>
      </c>
      <c r="I50" s="412" t="s">
        <v>284</v>
      </c>
      <c r="J50" s="290">
        <f t="shared" si="2"/>
        <v>16244.82230113948</v>
      </c>
      <c r="K50" s="517"/>
      <c r="L50" s="517"/>
      <c r="M50" s="517"/>
      <c r="N50" s="517"/>
      <c r="O50" s="517"/>
      <c r="P50" s="517"/>
      <c r="Q50" s="517"/>
      <c r="R50" s="517"/>
      <c r="S50" s="517"/>
      <c r="T50" s="517"/>
      <c r="U50" s="517"/>
      <c r="V50" s="517"/>
      <c r="W50" s="517"/>
      <c r="X50" s="517"/>
      <c r="Y50" s="517"/>
      <c r="Z50" s="517"/>
      <c r="AA50" s="517"/>
      <c r="AB50" s="517"/>
      <c r="AC50" s="517"/>
      <c r="AD50" s="517"/>
      <c r="AE50" s="517"/>
      <c r="AF50" s="517"/>
      <c r="AG50" s="517"/>
      <c r="AH50" s="517"/>
      <c r="AI50" s="517"/>
      <c r="AJ50" s="517"/>
      <c r="AK50" s="517"/>
      <c r="AL50" s="517"/>
      <c r="AM50" s="517"/>
      <c r="AN50" s="517"/>
      <c r="AO50" s="517"/>
      <c r="AP50" s="517"/>
      <c r="AQ50" s="517"/>
      <c r="AR50" s="517"/>
      <c r="AS50" s="517"/>
      <c r="AT50" s="517"/>
      <c r="AU50" s="517"/>
      <c r="AV50" s="517"/>
      <c r="AW50" s="517"/>
      <c r="AX50" s="517"/>
      <c r="AY50" s="517"/>
      <c r="AZ50" s="517"/>
      <c r="BA50" s="517"/>
      <c r="BB50" s="517"/>
      <c r="BC50" s="517"/>
      <c r="BD50" s="517"/>
      <c r="BE50" s="517"/>
      <c r="BF50" s="517"/>
      <c r="BG50" s="517"/>
      <c r="BH50" s="517"/>
      <c r="BI50" s="517"/>
      <c r="BJ50" s="517"/>
      <c r="BK50" s="517"/>
    </row>
    <row r="51" spans="1:63" s="316" customFormat="1">
      <c r="A51" s="411" t="s">
        <v>135</v>
      </c>
      <c r="B51" s="343" t="s">
        <v>352</v>
      </c>
      <c r="C51" s="272">
        <v>11190089.466404915</v>
      </c>
      <c r="D51" s="272">
        <v>1413450.890621346</v>
      </c>
      <c r="E51" s="272">
        <v>451443.54032345151</v>
      </c>
      <c r="F51" s="272">
        <v>1207519.4798535393</v>
      </c>
      <c r="G51" s="268">
        <f t="shared" si="0"/>
        <v>14262503.37720325</v>
      </c>
      <c r="H51" s="347">
        <v>530</v>
      </c>
      <c r="I51" s="344" t="s">
        <v>175</v>
      </c>
      <c r="J51" s="272">
        <f t="shared" si="2"/>
        <v>26910.383730572172</v>
      </c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</row>
    <row r="52" spans="1:63" s="316" customFormat="1">
      <c r="A52" s="342" t="s">
        <v>315</v>
      </c>
      <c r="B52" s="343" t="s">
        <v>353</v>
      </c>
      <c r="C52" s="272">
        <v>4483640.3666012287</v>
      </c>
      <c r="D52" s="272">
        <v>353362.72265533649</v>
      </c>
      <c r="E52" s="272">
        <v>112860.88508086288</v>
      </c>
      <c r="F52" s="272">
        <v>301879.86996338482</v>
      </c>
      <c r="G52" s="268">
        <f>SUM(C52:F52)</f>
        <v>5251743.844300813</v>
      </c>
      <c r="H52" s="347">
        <v>2</v>
      </c>
      <c r="I52" s="344" t="s">
        <v>178</v>
      </c>
      <c r="J52" s="272">
        <f t="shared" si="2"/>
        <v>2625871.9221504065</v>
      </c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/>
      <c r="AM52" s="345"/>
      <c r="AN52" s="345"/>
      <c r="AO52" s="345"/>
      <c r="AP52" s="345"/>
      <c r="AQ52" s="345"/>
      <c r="AR52" s="345"/>
      <c r="AS52" s="345"/>
      <c r="AT52" s="345"/>
      <c r="AU52" s="345"/>
      <c r="AV52" s="345"/>
      <c r="AW52" s="345"/>
      <c r="AX52" s="345"/>
      <c r="AY52" s="345"/>
      <c r="AZ52" s="345"/>
      <c r="BA52" s="345"/>
      <c r="BB52" s="345"/>
      <c r="BC52" s="345"/>
      <c r="BD52" s="345"/>
      <c r="BE52" s="345"/>
      <c r="BF52" s="345"/>
      <c r="BG52" s="345"/>
      <c r="BH52" s="345"/>
      <c r="BI52" s="345"/>
      <c r="BJ52" s="345"/>
      <c r="BK52" s="345"/>
    </row>
    <row r="53" spans="1:63" s="316" customFormat="1">
      <c r="A53" s="411" t="s">
        <v>136</v>
      </c>
      <c r="B53" s="327" t="s">
        <v>354</v>
      </c>
      <c r="C53" s="290">
        <v>1361590.1756838716</v>
      </c>
      <c r="D53" s="290">
        <v>388756.04586835665</v>
      </c>
      <c r="E53" s="290">
        <v>191241.10509988957</v>
      </c>
      <c r="F53" s="290">
        <v>372910.42760183074</v>
      </c>
      <c r="G53" s="260">
        <f>SUM(C53:F53)</f>
        <v>2314497.7542539486</v>
      </c>
      <c r="H53" s="348">
        <v>1</v>
      </c>
      <c r="I53" s="412" t="s">
        <v>179</v>
      </c>
      <c r="J53" s="519">
        <f t="shared" si="2"/>
        <v>2314497.7542539486</v>
      </c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5"/>
      <c r="BH53" s="345"/>
      <c r="BI53" s="345"/>
      <c r="BJ53" s="345"/>
      <c r="BK53" s="345"/>
    </row>
    <row r="54" spans="1:63" s="316" customFormat="1">
      <c r="A54" s="408"/>
      <c r="B54" s="329" t="s">
        <v>355</v>
      </c>
      <c r="C54" s="265"/>
      <c r="D54" s="265"/>
      <c r="E54" s="265"/>
      <c r="F54" s="265"/>
      <c r="G54" s="264"/>
      <c r="H54" s="349"/>
      <c r="I54" s="520"/>
      <c r="J54" s="520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/>
      <c r="AP54" s="345"/>
      <c r="AQ54" s="345"/>
      <c r="AR54" s="345"/>
      <c r="AS54" s="345"/>
      <c r="AT54" s="345"/>
      <c r="AU54" s="345"/>
      <c r="AV54" s="345"/>
      <c r="AW54" s="345"/>
      <c r="AX54" s="345"/>
      <c r="AY54" s="345"/>
      <c r="AZ54" s="345"/>
      <c r="BA54" s="345"/>
      <c r="BB54" s="345"/>
      <c r="BC54" s="345"/>
      <c r="BD54" s="345"/>
      <c r="BE54" s="345"/>
      <c r="BF54" s="345"/>
      <c r="BG54" s="345"/>
      <c r="BH54" s="345"/>
      <c r="BI54" s="345"/>
      <c r="BJ54" s="345"/>
      <c r="BK54" s="345"/>
    </row>
    <row r="55" spans="1:63" s="316" customFormat="1">
      <c r="A55" s="411" t="s">
        <v>151</v>
      </c>
      <c r="B55" s="326" t="s">
        <v>356</v>
      </c>
      <c r="C55" s="292">
        <v>1078926.7837892477</v>
      </c>
      <c r="D55" s="292">
        <v>259170.69724557109</v>
      </c>
      <c r="E55" s="292">
        <v>127494.07006659303</v>
      </c>
      <c r="F55" s="292">
        <v>248606.95173455399</v>
      </c>
      <c r="G55" s="260">
        <f>SUM(C55:F55)</f>
        <v>1714198.5028359659</v>
      </c>
      <c r="H55" s="350">
        <v>1</v>
      </c>
      <c r="I55" s="521" t="s">
        <v>179</v>
      </c>
      <c r="J55" s="519">
        <f>G55/H55</f>
        <v>1714198.5028359659</v>
      </c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5"/>
      <c r="AN55" s="345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5"/>
      <c r="BD55" s="345"/>
      <c r="BE55" s="345"/>
      <c r="BF55" s="345"/>
      <c r="BG55" s="345"/>
      <c r="BH55" s="345"/>
      <c r="BI55" s="345"/>
      <c r="BJ55" s="345"/>
      <c r="BK55" s="345"/>
    </row>
    <row r="56" spans="1:63" s="316" customFormat="1">
      <c r="A56" s="407"/>
      <c r="B56" s="326" t="s">
        <v>357</v>
      </c>
      <c r="C56" s="292"/>
      <c r="D56" s="292"/>
      <c r="E56" s="292"/>
      <c r="F56" s="292"/>
      <c r="G56" s="266"/>
      <c r="H56" s="350"/>
      <c r="I56" s="521"/>
      <c r="J56" s="521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  <c r="AP56" s="345"/>
      <c r="AQ56" s="345"/>
      <c r="AR56" s="345"/>
      <c r="AS56" s="345"/>
      <c r="AT56" s="345"/>
      <c r="AU56" s="345"/>
      <c r="AV56" s="345"/>
      <c r="AW56" s="345"/>
      <c r="AX56" s="345"/>
      <c r="AY56" s="345"/>
      <c r="AZ56" s="345"/>
      <c r="BA56" s="345"/>
      <c r="BB56" s="345"/>
      <c r="BC56" s="345"/>
      <c r="BD56" s="345"/>
      <c r="BE56" s="345"/>
      <c r="BF56" s="345"/>
      <c r="BG56" s="345"/>
      <c r="BH56" s="345"/>
      <c r="BI56" s="345"/>
      <c r="BJ56" s="345"/>
      <c r="BK56" s="345"/>
    </row>
    <row r="57" spans="1:63" s="316" customFormat="1">
      <c r="A57" s="522" t="s">
        <v>137</v>
      </c>
      <c r="B57" s="327" t="s">
        <v>314</v>
      </c>
      <c r="C57" s="290">
        <v>1277030.2354132109</v>
      </c>
      <c r="D57" s="290">
        <v>93873.836065101699</v>
      </c>
      <c r="E57" s="290">
        <v>146692.60009513277</v>
      </c>
      <c r="F57" s="290">
        <v>355152.78819221968</v>
      </c>
      <c r="G57" s="260">
        <f>SUM(C57:F57)</f>
        <v>1872749.4597656652</v>
      </c>
      <c r="H57" s="348">
        <v>632</v>
      </c>
      <c r="I57" s="412" t="s">
        <v>472</v>
      </c>
      <c r="J57" s="290">
        <f>G57/H57</f>
        <v>2963.2111705152929</v>
      </c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  <c r="AP57" s="345"/>
      <c r="AQ57" s="345"/>
      <c r="AR57" s="345"/>
      <c r="AS57" s="345"/>
      <c r="AT57" s="345"/>
      <c r="AU57" s="345"/>
      <c r="AV57" s="345"/>
      <c r="AW57" s="345"/>
      <c r="AX57" s="345"/>
      <c r="AY57" s="345"/>
      <c r="AZ57" s="345"/>
      <c r="BA57" s="345"/>
      <c r="BB57" s="345"/>
      <c r="BC57" s="345"/>
      <c r="BD57" s="345"/>
      <c r="BE57" s="345"/>
      <c r="BF57" s="345"/>
      <c r="BG57" s="345"/>
      <c r="BH57" s="345"/>
      <c r="BI57" s="345"/>
      <c r="BJ57" s="345"/>
      <c r="BK57" s="345"/>
    </row>
    <row r="58" spans="1:63" s="518" customFormat="1">
      <c r="A58" s="522" t="s">
        <v>138</v>
      </c>
      <c r="B58" s="327" t="s">
        <v>358</v>
      </c>
      <c r="C58" s="261">
        <f>2938454.80353303*50%</f>
        <v>1469227.4017665151</v>
      </c>
      <c r="D58" s="261">
        <f>1018100.00016275*50%</f>
        <v>509050.00008137501</v>
      </c>
      <c r="E58" s="261">
        <f>334304.250237832*50%</f>
        <v>167152.12511891601</v>
      </c>
      <c r="F58" s="261">
        <f>887881.970480549*50%</f>
        <v>443940.98524027452</v>
      </c>
      <c r="G58" s="260">
        <f>SUM(C58:F58)</f>
        <v>2589370.5122070806</v>
      </c>
      <c r="H58" s="259">
        <v>3</v>
      </c>
      <c r="I58" s="412" t="s">
        <v>359</v>
      </c>
      <c r="J58" s="290">
        <f>G58/H58</f>
        <v>863123.50406902691</v>
      </c>
      <c r="K58" s="517"/>
      <c r="L58" s="517"/>
      <c r="M58" s="517"/>
      <c r="N58" s="517"/>
      <c r="O58" s="517"/>
      <c r="P58" s="517"/>
      <c r="Q58" s="517"/>
      <c r="R58" s="517"/>
      <c r="S58" s="517"/>
      <c r="T58" s="517"/>
      <c r="U58" s="517"/>
      <c r="V58" s="517"/>
      <c r="W58" s="517"/>
      <c r="X58" s="517"/>
      <c r="Y58" s="517"/>
      <c r="Z58" s="517"/>
      <c r="AA58" s="517"/>
      <c r="AB58" s="517"/>
      <c r="AC58" s="517"/>
      <c r="AD58" s="517"/>
      <c r="AE58" s="517"/>
      <c r="AF58" s="517"/>
      <c r="AG58" s="517"/>
      <c r="AH58" s="517"/>
      <c r="AI58" s="517"/>
      <c r="AJ58" s="517"/>
      <c r="AK58" s="517"/>
      <c r="AL58" s="517"/>
      <c r="AM58" s="517"/>
      <c r="AN58" s="517"/>
      <c r="AO58" s="517"/>
      <c r="AP58" s="517"/>
      <c r="AQ58" s="517"/>
      <c r="AR58" s="517"/>
      <c r="AS58" s="517"/>
      <c r="AT58" s="517"/>
      <c r="AU58" s="517"/>
      <c r="AV58" s="517"/>
      <c r="AW58" s="517"/>
      <c r="AX58" s="517"/>
      <c r="AY58" s="517"/>
      <c r="AZ58" s="517"/>
      <c r="BA58" s="517"/>
      <c r="BB58" s="517"/>
      <c r="BC58" s="517"/>
      <c r="BD58" s="517"/>
      <c r="BE58" s="517"/>
      <c r="BF58" s="517"/>
      <c r="BG58" s="517"/>
      <c r="BH58" s="517"/>
      <c r="BI58" s="517"/>
      <c r="BJ58" s="517"/>
      <c r="BK58" s="517"/>
    </row>
    <row r="59" spans="1:63" s="518" customFormat="1">
      <c r="A59" s="408"/>
      <c r="B59" s="329" t="s">
        <v>360</v>
      </c>
      <c r="C59" s="265"/>
      <c r="D59" s="265"/>
      <c r="E59" s="265"/>
      <c r="F59" s="265"/>
      <c r="G59" s="264"/>
      <c r="H59" s="263"/>
      <c r="I59" s="520"/>
      <c r="J59" s="265"/>
      <c r="K59" s="517"/>
      <c r="L59" s="517"/>
      <c r="M59" s="517"/>
      <c r="N59" s="517"/>
      <c r="O59" s="517"/>
      <c r="P59" s="517"/>
      <c r="Q59" s="517"/>
      <c r="R59" s="517"/>
      <c r="S59" s="517"/>
      <c r="T59" s="517"/>
      <c r="U59" s="517"/>
      <c r="V59" s="517"/>
      <c r="W59" s="517"/>
      <c r="X59" s="517"/>
      <c r="Y59" s="517"/>
      <c r="Z59" s="517"/>
      <c r="AA59" s="517"/>
      <c r="AB59" s="517"/>
      <c r="AC59" s="517"/>
      <c r="AD59" s="517"/>
      <c r="AE59" s="517"/>
      <c r="AF59" s="517"/>
      <c r="AG59" s="517"/>
      <c r="AH59" s="517"/>
      <c r="AI59" s="517"/>
      <c r="AJ59" s="517"/>
      <c r="AK59" s="517"/>
      <c r="AL59" s="517"/>
      <c r="AM59" s="517"/>
      <c r="AN59" s="517"/>
      <c r="AO59" s="517"/>
      <c r="AP59" s="517"/>
      <c r="AQ59" s="517"/>
      <c r="AR59" s="517"/>
      <c r="AS59" s="517"/>
      <c r="AT59" s="517"/>
      <c r="AU59" s="517"/>
      <c r="AV59" s="517"/>
      <c r="AW59" s="517"/>
      <c r="AX59" s="517"/>
      <c r="AY59" s="517"/>
      <c r="AZ59" s="517"/>
      <c r="BA59" s="517"/>
      <c r="BB59" s="517"/>
      <c r="BC59" s="517"/>
      <c r="BD59" s="517"/>
      <c r="BE59" s="517"/>
      <c r="BF59" s="517"/>
      <c r="BG59" s="517"/>
      <c r="BH59" s="517"/>
      <c r="BI59" s="517"/>
      <c r="BJ59" s="517"/>
      <c r="BK59" s="517"/>
    </row>
    <row r="60" spans="1:63" s="517" customFormat="1">
      <c r="A60" s="522" t="s">
        <v>385</v>
      </c>
      <c r="B60" s="327" t="s">
        <v>361</v>
      </c>
      <c r="C60" s="261">
        <v>1469227.401766513</v>
      </c>
      <c r="D60" s="261">
        <v>509050.00008137716</v>
      </c>
      <c r="E60" s="261">
        <v>167152.12511891604</v>
      </c>
      <c r="F60" s="261">
        <v>443940.98524027434</v>
      </c>
      <c r="G60" s="260">
        <f>SUM(C60:F60)</f>
        <v>2589370.5122070806</v>
      </c>
      <c r="H60" s="259">
        <v>12493</v>
      </c>
      <c r="I60" s="412" t="s">
        <v>362</v>
      </c>
      <c r="J60" s="290">
        <f>G60/H60</f>
        <v>207.26570977403992</v>
      </c>
    </row>
    <row r="61" spans="1:63" s="518" customFormat="1">
      <c r="A61" s="523"/>
      <c r="B61" s="326" t="s">
        <v>363</v>
      </c>
      <c r="C61" s="292"/>
      <c r="D61" s="292"/>
      <c r="E61" s="292"/>
      <c r="F61" s="292"/>
      <c r="G61" s="266"/>
      <c r="H61" s="256"/>
      <c r="I61" s="524"/>
      <c r="J61" s="292"/>
      <c r="K61" s="517"/>
      <c r="L61" s="517"/>
      <c r="M61" s="517"/>
      <c r="N61" s="517"/>
      <c r="O61" s="517"/>
      <c r="P61" s="517"/>
      <c r="Q61" s="517"/>
      <c r="R61" s="517"/>
      <c r="S61" s="517"/>
      <c r="T61" s="517"/>
      <c r="U61" s="517"/>
      <c r="V61" s="517"/>
      <c r="W61" s="517"/>
      <c r="X61" s="517"/>
      <c r="Y61" s="517"/>
      <c r="Z61" s="517"/>
      <c r="AA61" s="517"/>
      <c r="AB61" s="517"/>
      <c r="AC61" s="517"/>
      <c r="AD61" s="517"/>
      <c r="AE61" s="517"/>
      <c r="AF61" s="517"/>
      <c r="AG61" s="517"/>
      <c r="AH61" s="517"/>
      <c r="AI61" s="517"/>
      <c r="AJ61" s="517"/>
      <c r="AK61" s="517"/>
      <c r="AL61" s="517"/>
      <c r="AM61" s="517"/>
      <c r="AN61" s="517"/>
      <c r="AO61" s="517"/>
      <c r="AP61" s="517"/>
      <c r="AQ61" s="517"/>
      <c r="AR61" s="517"/>
      <c r="AS61" s="517"/>
      <c r="AT61" s="517"/>
      <c r="AU61" s="517"/>
      <c r="AV61" s="517"/>
      <c r="AW61" s="517"/>
      <c r="AX61" s="517"/>
      <c r="AY61" s="517"/>
      <c r="AZ61" s="517"/>
      <c r="BA61" s="517"/>
      <c r="BB61" s="517"/>
      <c r="BC61" s="517"/>
      <c r="BD61" s="517"/>
      <c r="BE61" s="517"/>
      <c r="BF61" s="517"/>
      <c r="BG61" s="517"/>
      <c r="BH61" s="517"/>
      <c r="BI61" s="517"/>
      <c r="BJ61" s="517"/>
      <c r="BK61" s="517"/>
    </row>
    <row r="62" spans="1:63" ht="22.5" thickBot="1">
      <c r="A62" s="563" t="s">
        <v>26</v>
      </c>
      <c r="B62" s="564"/>
      <c r="C62" s="418">
        <f>SUM(C5:C61)</f>
        <v>235953028.88000003</v>
      </c>
      <c r="D62" s="418">
        <f>SUM(D5:D61)</f>
        <v>37044215.239999987</v>
      </c>
      <c r="E62" s="418">
        <f>SUM(E5:E61)</f>
        <v>15895196.32</v>
      </c>
      <c r="F62" s="418">
        <f>SUM(F5:F61)</f>
        <v>38800442.109999985</v>
      </c>
      <c r="G62" s="418">
        <f>SUM(G5:G61)</f>
        <v>327692882.04999995</v>
      </c>
      <c r="H62" s="351"/>
      <c r="I62" s="351"/>
      <c r="J62" s="351"/>
    </row>
    <row r="63" spans="1:63" ht="22.5" thickTop="1">
      <c r="C63" s="254"/>
      <c r="D63" s="254"/>
      <c r="E63" s="254"/>
      <c r="F63" s="254"/>
      <c r="G63" s="352"/>
    </row>
    <row r="64" spans="1:63">
      <c r="C64" s="254"/>
      <c r="D64" s="254"/>
      <c r="E64" s="254"/>
      <c r="F64" s="254"/>
    </row>
    <row r="65" spans="3:7">
      <c r="C65" s="254"/>
      <c r="D65" s="254"/>
      <c r="E65" s="254"/>
      <c r="F65" s="254"/>
    </row>
    <row r="66" spans="3:7">
      <c r="C66" s="254"/>
      <c r="D66" s="254"/>
      <c r="E66" s="254"/>
      <c r="F66" s="254"/>
    </row>
    <row r="67" spans="3:7">
      <c r="C67" s="254"/>
      <c r="D67" s="254"/>
      <c r="E67" s="254"/>
      <c r="F67" s="254"/>
      <c r="G67" s="254"/>
    </row>
    <row r="68" spans="3:7">
      <c r="C68" s="353"/>
      <c r="D68" s="353"/>
      <c r="E68" s="353"/>
      <c r="F68" s="353"/>
      <c r="G68" s="353"/>
    </row>
    <row r="71" spans="3:7">
      <c r="C71" s="254"/>
      <c r="D71" s="254"/>
      <c r="E71" s="254"/>
      <c r="F71" s="254"/>
    </row>
    <row r="72" spans="3:7">
      <c r="C72" s="254"/>
      <c r="D72" s="254"/>
      <c r="E72" s="254"/>
      <c r="F72" s="254"/>
    </row>
    <row r="73" spans="3:7">
      <c r="C73" s="254"/>
      <c r="D73" s="254"/>
      <c r="E73" s="254"/>
      <c r="F73" s="254"/>
    </row>
    <row r="74" spans="3:7">
      <c r="C74" s="254"/>
      <c r="D74" s="254"/>
      <c r="E74" s="254"/>
      <c r="F74" s="254"/>
    </row>
    <row r="75" spans="3:7">
      <c r="C75" s="254"/>
      <c r="D75" s="254"/>
      <c r="E75" s="254"/>
      <c r="F75" s="254"/>
    </row>
    <row r="77" spans="3:7">
      <c r="C77" s="354"/>
      <c r="D77" s="354"/>
      <c r="E77" s="354"/>
      <c r="F77" s="354"/>
    </row>
    <row r="78" spans="3:7">
      <c r="C78" s="354"/>
      <c r="D78" s="354"/>
      <c r="E78" s="354"/>
      <c r="F78" s="354"/>
    </row>
    <row r="79" spans="3:7">
      <c r="C79" s="354"/>
      <c r="D79" s="354"/>
      <c r="E79" s="354"/>
      <c r="F79" s="354"/>
    </row>
    <row r="80" spans="3:7">
      <c r="C80" s="354"/>
      <c r="D80" s="354"/>
      <c r="E80" s="354"/>
      <c r="F80" s="354"/>
    </row>
    <row r="81" spans="1:63" s="312" customFormat="1">
      <c r="A81" s="338"/>
      <c r="B81" s="311"/>
      <c r="C81" s="354"/>
      <c r="D81" s="354"/>
      <c r="E81" s="354"/>
      <c r="F81" s="354"/>
      <c r="H81" s="311"/>
      <c r="I81" s="311"/>
      <c r="J81" s="311"/>
      <c r="K81" s="313"/>
      <c r="L81" s="313"/>
      <c r="M81" s="313"/>
      <c r="N81" s="313"/>
      <c r="O81" s="313"/>
      <c r="P81" s="313"/>
      <c r="Q81" s="313"/>
      <c r="R81" s="313"/>
      <c r="S81" s="313"/>
      <c r="T81" s="313"/>
      <c r="U81" s="313"/>
      <c r="V81" s="313"/>
      <c r="W81" s="313"/>
      <c r="X81" s="313"/>
      <c r="Y81" s="313"/>
      <c r="Z81" s="313"/>
      <c r="AA81" s="313"/>
      <c r="AB81" s="313"/>
      <c r="AC81" s="313"/>
      <c r="AD81" s="313"/>
      <c r="AE81" s="313"/>
      <c r="AF81" s="313"/>
      <c r="AG81" s="313"/>
      <c r="AH81" s="313"/>
      <c r="AI81" s="313"/>
      <c r="AJ81" s="313"/>
      <c r="AK81" s="313"/>
      <c r="AL81" s="313"/>
      <c r="AM81" s="313"/>
      <c r="AN81" s="313"/>
      <c r="AO81" s="313"/>
      <c r="AP81" s="313"/>
      <c r="AQ81" s="313"/>
      <c r="AR81" s="313"/>
      <c r="AS81" s="313"/>
      <c r="AT81" s="313"/>
      <c r="AU81" s="313"/>
      <c r="AV81" s="313"/>
      <c r="AW81" s="313"/>
      <c r="AX81" s="313"/>
      <c r="AY81" s="313"/>
      <c r="AZ81" s="313"/>
      <c r="BA81" s="313"/>
      <c r="BB81" s="313"/>
      <c r="BC81" s="313"/>
      <c r="BD81" s="313"/>
      <c r="BE81" s="313"/>
      <c r="BF81" s="313"/>
      <c r="BG81" s="313"/>
      <c r="BH81" s="313"/>
      <c r="BI81" s="313"/>
      <c r="BJ81" s="313"/>
      <c r="BK81" s="313"/>
    </row>
    <row r="82" spans="1:63" s="312" customFormat="1">
      <c r="A82" s="338"/>
      <c r="B82" s="311"/>
      <c r="C82" s="354"/>
      <c r="D82" s="354"/>
      <c r="E82" s="354"/>
      <c r="F82" s="354"/>
      <c r="H82" s="311"/>
      <c r="I82" s="311"/>
      <c r="J82" s="311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  <c r="BA82" s="313"/>
      <c r="BB82" s="313"/>
      <c r="BC82" s="313"/>
      <c r="BD82" s="313"/>
      <c r="BE82" s="313"/>
      <c r="BF82" s="313"/>
      <c r="BG82" s="313"/>
      <c r="BH82" s="313"/>
      <c r="BI82" s="313"/>
      <c r="BJ82" s="313"/>
      <c r="BK82" s="313"/>
    </row>
    <row r="83" spans="1:63" s="312" customFormat="1">
      <c r="A83" s="338"/>
      <c r="B83" s="311"/>
      <c r="C83" s="354"/>
      <c r="D83" s="354"/>
      <c r="E83" s="354"/>
      <c r="F83" s="354"/>
      <c r="H83" s="311"/>
      <c r="I83" s="311"/>
      <c r="J83" s="311"/>
      <c r="K83" s="313"/>
      <c r="L83" s="313"/>
      <c r="M83" s="313"/>
      <c r="N83" s="313"/>
      <c r="O83" s="313"/>
      <c r="P83" s="313"/>
      <c r="Q83" s="313"/>
      <c r="R83" s="313"/>
      <c r="S83" s="313"/>
      <c r="T83" s="313"/>
      <c r="U83" s="313"/>
      <c r="V83" s="313"/>
      <c r="W83" s="313"/>
      <c r="X83" s="313"/>
      <c r="Y83" s="313"/>
      <c r="Z83" s="313"/>
      <c r="AA83" s="313"/>
      <c r="AB83" s="313"/>
      <c r="AC83" s="313"/>
      <c r="AD83" s="313"/>
      <c r="AE83" s="313"/>
      <c r="AF83" s="313"/>
      <c r="AG83" s="313"/>
      <c r="AH83" s="313"/>
      <c r="AI83" s="313"/>
      <c r="AJ83" s="313"/>
      <c r="AK83" s="313"/>
      <c r="AL83" s="313"/>
      <c r="AM83" s="313"/>
      <c r="AN83" s="313"/>
      <c r="AO83" s="313"/>
      <c r="AP83" s="313"/>
      <c r="AQ83" s="313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  <c r="BJ83" s="313"/>
      <c r="BK83" s="313"/>
    </row>
    <row r="84" spans="1:63" s="312" customFormat="1">
      <c r="A84" s="338"/>
      <c r="B84" s="311"/>
      <c r="C84" s="354"/>
      <c r="D84" s="354"/>
      <c r="E84" s="354"/>
      <c r="F84" s="354"/>
      <c r="H84" s="311"/>
      <c r="I84" s="311"/>
      <c r="J84" s="311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3"/>
      <c r="AL84" s="313"/>
      <c r="AM84" s="313"/>
      <c r="AN84" s="313"/>
      <c r="AO84" s="313"/>
      <c r="AP84" s="313"/>
      <c r="AQ84" s="313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3"/>
      <c r="BE84" s="313"/>
      <c r="BF84" s="313"/>
      <c r="BG84" s="313"/>
      <c r="BH84" s="313"/>
      <c r="BI84" s="313"/>
      <c r="BJ84" s="313"/>
      <c r="BK84" s="313"/>
    </row>
    <row r="85" spans="1:63" s="312" customFormat="1">
      <c r="A85" s="338"/>
      <c r="B85" s="311"/>
      <c r="C85" s="354"/>
      <c r="D85" s="354"/>
      <c r="E85" s="354"/>
      <c r="F85" s="354"/>
      <c r="H85" s="311"/>
      <c r="I85" s="311"/>
      <c r="J85" s="311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13"/>
      <c r="AZ85" s="313"/>
      <c r="BA85" s="313"/>
      <c r="BB85" s="313"/>
      <c r="BC85" s="313"/>
      <c r="BD85" s="313"/>
      <c r="BE85" s="313"/>
      <c r="BF85" s="313"/>
      <c r="BG85" s="313"/>
      <c r="BH85" s="313"/>
      <c r="BI85" s="313"/>
      <c r="BJ85" s="313"/>
      <c r="BK85" s="313"/>
    </row>
    <row r="86" spans="1:63" s="312" customFormat="1">
      <c r="A86" s="338"/>
      <c r="B86" s="311"/>
      <c r="C86" s="354"/>
      <c r="D86" s="354"/>
      <c r="E86" s="354"/>
      <c r="F86" s="354"/>
      <c r="H86" s="311"/>
      <c r="I86" s="311"/>
      <c r="J86" s="311"/>
      <c r="K86" s="313"/>
      <c r="L86" s="313"/>
      <c r="M86" s="313"/>
      <c r="N86" s="313"/>
      <c r="O86" s="313"/>
      <c r="P86" s="313"/>
      <c r="Q86" s="313"/>
      <c r="R86" s="313"/>
      <c r="S86" s="313"/>
      <c r="T86" s="313"/>
      <c r="U86" s="313"/>
      <c r="V86" s="313"/>
      <c r="W86" s="313"/>
      <c r="X86" s="313"/>
      <c r="Y86" s="313"/>
      <c r="Z86" s="313"/>
      <c r="AA86" s="313"/>
      <c r="AB86" s="313"/>
      <c r="AC86" s="313"/>
      <c r="AD86" s="313"/>
      <c r="AE86" s="313"/>
      <c r="AF86" s="313"/>
      <c r="AG86" s="313"/>
      <c r="AH86" s="313"/>
      <c r="AI86" s="313"/>
      <c r="AJ86" s="313"/>
      <c r="AK86" s="313"/>
      <c r="AL86" s="313"/>
      <c r="AM86" s="313"/>
      <c r="AN86" s="313"/>
      <c r="AO86" s="313"/>
      <c r="AP86" s="313"/>
      <c r="AQ86" s="313"/>
      <c r="AR86" s="313"/>
      <c r="AS86" s="313"/>
      <c r="AT86" s="313"/>
      <c r="AU86" s="313"/>
      <c r="AV86" s="313"/>
      <c r="AW86" s="313"/>
      <c r="AX86" s="313"/>
      <c r="AY86" s="313"/>
      <c r="AZ86" s="313"/>
      <c r="BA86" s="313"/>
      <c r="BB86" s="313"/>
      <c r="BC86" s="313"/>
      <c r="BD86" s="313"/>
      <c r="BE86" s="313"/>
      <c r="BF86" s="313"/>
      <c r="BG86" s="313"/>
      <c r="BH86" s="313"/>
      <c r="BI86" s="313"/>
      <c r="BJ86" s="313"/>
      <c r="BK86" s="313"/>
    </row>
    <row r="87" spans="1:63" s="312" customFormat="1">
      <c r="A87" s="338"/>
      <c r="B87" s="311"/>
      <c r="C87" s="354"/>
      <c r="D87" s="354"/>
      <c r="E87" s="354"/>
      <c r="F87" s="354"/>
      <c r="H87" s="311"/>
      <c r="I87" s="311"/>
      <c r="J87" s="311"/>
      <c r="K87" s="313"/>
      <c r="L87" s="313"/>
      <c r="M87" s="313"/>
      <c r="N87" s="313"/>
      <c r="O87" s="313"/>
      <c r="P87" s="313"/>
      <c r="Q87" s="313"/>
      <c r="R87" s="313"/>
      <c r="S87" s="313"/>
      <c r="T87" s="313"/>
      <c r="U87" s="313"/>
      <c r="V87" s="313"/>
      <c r="W87" s="313"/>
      <c r="X87" s="313"/>
      <c r="Y87" s="313"/>
      <c r="Z87" s="313"/>
      <c r="AA87" s="313"/>
      <c r="AB87" s="313"/>
      <c r="AC87" s="313"/>
      <c r="AD87" s="313"/>
      <c r="AE87" s="313"/>
      <c r="AF87" s="313"/>
      <c r="AG87" s="313"/>
      <c r="AH87" s="313"/>
      <c r="AI87" s="313"/>
      <c r="AJ87" s="313"/>
      <c r="AK87" s="313"/>
      <c r="AL87" s="313"/>
      <c r="AM87" s="313"/>
      <c r="AN87" s="313"/>
      <c r="AO87" s="313"/>
      <c r="AP87" s="313"/>
      <c r="AQ87" s="313"/>
      <c r="AR87" s="313"/>
      <c r="AS87" s="313"/>
      <c r="AT87" s="313"/>
      <c r="AU87" s="313"/>
      <c r="AV87" s="313"/>
      <c r="AW87" s="313"/>
      <c r="AX87" s="313"/>
      <c r="AY87" s="313"/>
      <c r="AZ87" s="313"/>
      <c r="BA87" s="313"/>
      <c r="BB87" s="313"/>
      <c r="BC87" s="313"/>
      <c r="BD87" s="313"/>
      <c r="BE87" s="313"/>
      <c r="BF87" s="313"/>
      <c r="BG87" s="313"/>
      <c r="BH87" s="313"/>
      <c r="BI87" s="313"/>
      <c r="BJ87" s="313"/>
      <c r="BK87" s="313"/>
    </row>
  </sheetData>
  <mergeCells count="5">
    <mergeCell ref="I2:J2"/>
    <mergeCell ref="A3:B3"/>
    <mergeCell ref="I37:J37"/>
    <mergeCell ref="A38:B38"/>
    <mergeCell ref="A62:B62"/>
  </mergeCells>
  <pageMargins left="0.47244094488188981" right="0" top="0.6692913385826772" bottom="0.19685039370078741" header="0.27559055118110237" footer="0"/>
  <pageSetup paperSize="9" scale="61" orientation="landscape" cellComments="asDisplayed" r:id="rId1"/>
  <headerFooter alignWithMargins="0"/>
  <rowBreaks count="1" manualBreakCount="1">
    <brk id="3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K27"/>
  <sheetViews>
    <sheetView zoomScaleNormal="100" workbookViewId="0"/>
  </sheetViews>
  <sheetFormatPr defaultColWidth="9.28515625" defaultRowHeight="21.75"/>
  <cols>
    <col min="1" max="1" width="3.28515625" style="13" customWidth="1"/>
    <col min="2" max="2" width="38.140625" style="13" customWidth="1"/>
    <col min="3" max="3" width="17" style="34" bestFit="1" customWidth="1"/>
    <col min="4" max="4" width="15.5703125" style="34" customWidth="1"/>
    <col min="5" max="5" width="16" style="34" bestFit="1" customWidth="1"/>
    <col min="6" max="6" width="16.140625" style="34" bestFit="1" customWidth="1"/>
    <col min="7" max="7" width="17.85546875" style="34" customWidth="1"/>
    <col min="8" max="8" width="6.28515625" style="13" customWidth="1"/>
    <col min="9" max="9" width="9.7109375" style="13" customWidth="1"/>
    <col min="10" max="10" width="14.5703125" style="34" bestFit="1" customWidth="1"/>
    <col min="11" max="11" width="13.5703125" style="13" bestFit="1" customWidth="1"/>
    <col min="12" max="16384" width="9.28515625" style="13"/>
  </cols>
  <sheetData>
    <row r="1" spans="1:11" s="2" customFormat="1" ht="24">
      <c r="A1" s="12" t="s">
        <v>365</v>
      </c>
      <c r="C1" s="8"/>
      <c r="D1" s="8"/>
      <c r="E1" s="8"/>
      <c r="F1" s="8"/>
      <c r="G1" s="8"/>
      <c r="J1" s="8"/>
    </row>
    <row r="2" spans="1:11" s="2" customFormat="1" ht="24">
      <c r="B2" s="12"/>
      <c r="C2" s="8"/>
      <c r="D2" s="8"/>
      <c r="E2" s="8"/>
      <c r="F2" s="8"/>
      <c r="G2" s="8"/>
      <c r="J2" s="78" t="s">
        <v>63</v>
      </c>
    </row>
    <row r="3" spans="1:11">
      <c r="A3" s="554" t="s">
        <v>4</v>
      </c>
      <c r="B3" s="565"/>
      <c r="C3" s="79" t="s">
        <v>22</v>
      </c>
      <c r="D3" s="79" t="s">
        <v>23</v>
      </c>
      <c r="E3" s="79" t="s">
        <v>24</v>
      </c>
      <c r="F3" s="79" t="s">
        <v>25</v>
      </c>
      <c r="G3" s="79" t="s">
        <v>26</v>
      </c>
      <c r="H3" s="67" t="s">
        <v>5</v>
      </c>
      <c r="I3" s="67" t="s">
        <v>6</v>
      </c>
      <c r="J3" s="79" t="s">
        <v>27</v>
      </c>
    </row>
    <row r="4" spans="1:11">
      <c r="A4" s="59" t="s">
        <v>109</v>
      </c>
      <c r="B4" s="42" t="s">
        <v>152</v>
      </c>
      <c r="C4" s="505">
        <v>20271337.942494985</v>
      </c>
      <c r="D4" s="505">
        <v>5497051.1704434967</v>
      </c>
      <c r="E4" s="505">
        <v>2273328.9974761428</v>
      </c>
      <c r="F4" s="505">
        <v>5510787.43011594</v>
      </c>
      <c r="G4" s="502">
        <f>SUM(C4:F4)</f>
        <v>33552505.540530562</v>
      </c>
      <c r="H4" s="80">
        <v>1</v>
      </c>
      <c r="I4" s="80" t="s">
        <v>179</v>
      </c>
      <c r="J4" s="26">
        <f>G4/H4</f>
        <v>33552505.540530562</v>
      </c>
      <c r="K4" s="77"/>
    </row>
    <row r="5" spans="1:11">
      <c r="A5" s="59" t="s">
        <v>110</v>
      </c>
      <c r="B5" s="42" t="s">
        <v>153</v>
      </c>
      <c r="C5" s="505">
        <v>20305019.745766357</v>
      </c>
      <c r="D5" s="505">
        <v>2780260.3939691084</v>
      </c>
      <c r="E5" s="505">
        <v>1977231.6972700227</v>
      </c>
      <c r="F5" s="505">
        <v>4741289.7223661328</v>
      </c>
      <c r="G5" s="502">
        <f>SUM(C5:F5)</f>
        <v>29803801.55937162</v>
      </c>
      <c r="H5" s="80">
        <v>1</v>
      </c>
      <c r="I5" s="80" t="s">
        <v>179</v>
      </c>
      <c r="J5" s="26">
        <f t="shared" ref="J5:J17" si="0">G5/H5</f>
        <v>29803801.55937162</v>
      </c>
      <c r="K5" s="77"/>
    </row>
    <row r="6" spans="1:11">
      <c r="A6" s="59" t="s">
        <v>111</v>
      </c>
      <c r="B6" s="42" t="s">
        <v>154</v>
      </c>
      <c r="C6" s="505">
        <v>20501219.057119671</v>
      </c>
      <c r="D6" s="505">
        <v>4878943.2429853836</v>
      </c>
      <c r="E6" s="505">
        <v>1919873.3722938052</v>
      </c>
      <c r="F6" s="505">
        <v>4830077.9194141878</v>
      </c>
      <c r="G6" s="502">
        <f t="shared" ref="G6:G17" si="1">SUM(C6:F6)</f>
        <v>32130113.591813046</v>
      </c>
      <c r="H6" s="80">
        <v>1</v>
      </c>
      <c r="I6" s="80" t="s">
        <v>179</v>
      </c>
      <c r="J6" s="26">
        <f t="shared" si="0"/>
        <v>32130113.591813046</v>
      </c>
      <c r="K6" s="77"/>
    </row>
    <row r="7" spans="1:11">
      <c r="A7" s="59" t="s">
        <v>114</v>
      </c>
      <c r="B7" s="42" t="s">
        <v>155</v>
      </c>
      <c r="C7" s="506">
        <v>12512031.547347005</v>
      </c>
      <c r="D7" s="506">
        <v>4114826.0046273246</v>
      </c>
      <c r="E7" s="506">
        <v>1234281.7817705753</v>
      </c>
      <c r="F7" s="506">
        <v>2876737.5843569785</v>
      </c>
      <c r="G7" s="503">
        <f t="shared" si="1"/>
        <v>20737876.918101884</v>
      </c>
      <c r="H7" s="81">
        <v>1</v>
      </c>
      <c r="I7" s="81" t="s">
        <v>179</v>
      </c>
      <c r="J7" s="41">
        <f t="shared" si="0"/>
        <v>20737876.918101884</v>
      </c>
      <c r="K7" s="77"/>
    </row>
    <row r="8" spans="1:11">
      <c r="A8" s="61"/>
      <c r="B8" s="49" t="s">
        <v>113</v>
      </c>
      <c r="C8" s="507"/>
      <c r="D8" s="507"/>
      <c r="E8" s="507"/>
      <c r="F8" s="507"/>
      <c r="G8" s="504"/>
      <c r="H8" s="43"/>
      <c r="I8" s="43"/>
      <c r="J8" s="45"/>
      <c r="K8" s="77"/>
    </row>
    <row r="9" spans="1:11">
      <c r="A9" s="59" t="s">
        <v>115</v>
      </c>
      <c r="B9" s="42" t="s">
        <v>156</v>
      </c>
      <c r="C9" s="506">
        <v>17818791.028173424</v>
      </c>
      <c r="D9" s="506">
        <v>2984225.9467575275</v>
      </c>
      <c r="E9" s="506">
        <v>1551960.1619608407</v>
      </c>
      <c r="F9" s="506">
        <v>3587043.1607414186</v>
      </c>
      <c r="G9" s="503">
        <f>SUM(C9:F9)</f>
        <v>25942020.297633212</v>
      </c>
      <c r="H9" s="81">
        <v>1</v>
      </c>
      <c r="I9" s="81" t="s">
        <v>179</v>
      </c>
      <c r="J9" s="41">
        <f t="shared" si="0"/>
        <v>25942020.297633212</v>
      </c>
      <c r="K9" s="77"/>
    </row>
    <row r="10" spans="1:11">
      <c r="A10" s="61"/>
      <c r="B10" s="49" t="s">
        <v>157</v>
      </c>
      <c r="C10" s="507"/>
      <c r="D10" s="507"/>
      <c r="E10" s="507"/>
      <c r="F10" s="507"/>
      <c r="G10" s="504"/>
      <c r="H10" s="43"/>
      <c r="I10" s="43"/>
      <c r="J10" s="45"/>
      <c r="K10" s="77"/>
    </row>
    <row r="11" spans="1:11">
      <c r="A11" s="59" t="s">
        <v>117</v>
      </c>
      <c r="B11" s="42" t="s">
        <v>158</v>
      </c>
      <c r="C11" s="505">
        <v>17821676.59490205</v>
      </c>
      <c r="D11" s="505">
        <v>4060889.3332319153</v>
      </c>
      <c r="E11" s="505">
        <v>1663976.6521669619</v>
      </c>
      <c r="F11" s="505">
        <v>4356540.8684912259</v>
      </c>
      <c r="G11" s="502">
        <f t="shared" si="1"/>
        <v>27903083.448792152</v>
      </c>
      <c r="H11" s="80">
        <v>1</v>
      </c>
      <c r="I11" s="80" t="s">
        <v>179</v>
      </c>
      <c r="J11" s="26">
        <f t="shared" si="0"/>
        <v>27903083.448792152</v>
      </c>
      <c r="K11" s="77"/>
    </row>
    <row r="12" spans="1:11">
      <c r="A12" s="59" t="s">
        <v>120</v>
      </c>
      <c r="B12" s="42" t="s">
        <v>159</v>
      </c>
      <c r="C12" s="506">
        <v>54705693.64490205</v>
      </c>
      <c r="D12" s="506">
        <v>3503851.3032319141</v>
      </c>
      <c r="E12" s="506">
        <v>1985903.6421669617</v>
      </c>
      <c r="F12" s="506">
        <v>4356540.8684912268</v>
      </c>
      <c r="G12" s="503">
        <f t="shared" si="1"/>
        <v>64551989.458792157</v>
      </c>
      <c r="H12" s="81">
        <v>1</v>
      </c>
      <c r="I12" s="81" t="s">
        <v>179</v>
      </c>
      <c r="J12" s="41">
        <f t="shared" si="0"/>
        <v>64551989.458792157</v>
      </c>
      <c r="K12" s="77"/>
    </row>
    <row r="13" spans="1:11">
      <c r="A13" s="61"/>
      <c r="B13" s="49" t="s">
        <v>145</v>
      </c>
      <c r="C13" s="507"/>
      <c r="D13" s="507"/>
      <c r="E13" s="508"/>
      <c r="F13" s="507"/>
      <c r="G13" s="504"/>
      <c r="H13" s="43"/>
      <c r="I13" s="43"/>
      <c r="J13" s="45"/>
      <c r="K13" s="77"/>
    </row>
    <row r="14" spans="1:11">
      <c r="A14" s="59" t="s">
        <v>129</v>
      </c>
      <c r="B14" s="42" t="s">
        <v>160</v>
      </c>
      <c r="C14" s="506">
        <v>37896049.200240977</v>
      </c>
      <c r="D14" s="506">
        <v>1408856.653205731</v>
      </c>
      <c r="E14" s="506">
        <v>533841.02092543652</v>
      </c>
      <c r="F14" s="506">
        <v>1189761.8404439352</v>
      </c>
      <c r="G14" s="503">
        <f t="shared" si="1"/>
        <v>41028508.714816079</v>
      </c>
      <c r="H14" s="81">
        <v>1</v>
      </c>
      <c r="I14" s="81" t="s">
        <v>179</v>
      </c>
      <c r="J14" s="41">
        <f t="shared" si="0"/>
        <v>41028508.714816079</v>
      </c>
      <c r="K14" s="77"/>
    </row>
    <row r="15" spans="1:11">
      <c r="A15" s="61"/>
      <c r="B15" s="49" t="s">
        <v>147</v>
      </c>
      <c r="C15" s="507"/>
      <c r="D15" s="507"/>
      <c r="E15" s="507"/>
      <c r="F15" s="507"/>
      <c r="G15" s="504"/>
      <c r="H15" s="43"/>
      <c r="I15" s="43"/>
      <c r="J15" s="45"/>
      <c r="K15" s="77"/>
    </row>
    <row r="16" spans="1:11">
      <c r="A16" s="62" t="s">
        <v>121</v>
      </c>
      <c r="B16" s="63" t="s">
        <v>161</v>
      </c>
      <c r="C16" s="505">
        <v>12373952.037347004</v>
      </c>
      <c r="D16" s="505">
        <v>2468135.4246273241</v>
      </c>
      <c r="E16" s="505">
        <v>1163900.5117705753</v>
      </c>
      <c r="F16" s="505">
        <v>2876737.5843569785</v>
      </c>
      <c r="G16" s="502">
        <f>SUM(C16:F16)</f>
        <v>18882725.558101881</v>
      </c>
      <c r="H16" s="80">
        <v>1</v>
      </c>
      <c r="I16" s="80" t="s">
        <v>179</v>
      </c>
      <c r="J16" s="26">
        <f t="shared" si="0"/>
        <v>18882725.558101881</v>
      </c>
      <c r="K16" s="77"/>
    </row>
    <row r="17" spans="1:11">
      <c r="A17" s="149" t="s">
        <v>125</v>
      </c>
      <c r="B17" s="63" t="s">
        <v>186</v>
      </c>
      <c r="C17" s="506">
        <v>21747257.581706457</v>
      </c>
      <c r="D17" s="506">
        <v>5347175.7669202816</v>
      </c>
      <c r="E17" s="506">
        <v>1590898.4821986728</v>
      </c>
      <c r="F17" s="506">
        <v>4474925.131221965</v>
      </c>
      <c r="G17" s="502">
        <f t="shared" si="1"/>
        <v>33160256.962047379</v>
      </c>
      <c r="H17" s="80">
        <v>1</v>
      </c>
      <c r="I17" s="80" t="s">
        <v>179</v>
      </c>
      <c r="J17" s="26">
        <f t="shared" si="0"/>
        <v>33160256.962047379</v>
      </c>
      <c r="K17" s="77"/>
    </row>
    <row r="18" spans="1:11" ht="22.5" thickBot="1">
      <c r="A18" s="566" t="s">
        <v>26</v>
      </c>
      <c r="B18" s="567"/>
      <c r="C18" s="55">
        <f>SUM(C4:C17)</f>
        <v>235953028.38</v>
      </c>
      <c r="D18" s="55">
        <f>ROUNDUP(SUM(D4:D17),2)</f>
        <v>37044215.240000002</v>
      </c>
      <c r="E18" s="55">
        <f>ROUNDUP(SUM(E4:E17),2)</f>
        <v>15895196.32</v>
      </c>
      <c r="F18" s="55">
        <f>SUM(F4:F17)</f>
        <v>38800442.109999985</v>
      </c>
      <c r="G18" s="55">
        <f>ROUNDUP(SUM(G4:G17),2)</f>
        <v>327692882.05000001</v>
      </c>
      <c r="H18" s="82"/>
      <c r="I18" s="82"/>
      <c r="J18" s="82"/>
    </row>
    <row r="19" spans="1:11" ht="22.5" hidden="1" thickTop="1">
      <c r="B19" s="83" t="s">
        <v>64</v>
      </c>
      <c r="C19" s="34">
        <f>SUM(C4:C16)</f>
        <v>214205770.79829353</v>
      </c>
      <c r="D19" s="34">
        <f>SUM(D4:D16)</f>
        <v>31697039.473079722</v>
      </c>
      <c r="E19" s="34">
        <f>SUM(E4:E16)</f>
        <v>14304297.837801322</v>
      </c>
      <c r="F19" s="34">
        <f>SUM(F4:F16)</f>
        <v>34325516.97877802</v>
      </c>
      <c r="G19" s="34">
        <f>SUM(C19:F19)</f>
        <v>294532625.08795255</v>
      </c>
    </row>
    <row r="20" spans="1:11" ht="22.5" thickTop="1"/>
    <row r="27" spans="1:11" s="191" customFormat="1">
      <c r="C27" s="245"/>
      <c r="D27" s="245"/>
      <c r="E27" s="245"/>
      <c r="F27" s="245"/>
      <c r="G27" s="245"/>
      <c r="H27" s="245"/>
      <c r="I27" s="245"/>
      <c r="J27" s="245"/>
    </row>
  </sheetData>
  <mergeCells count="2">
    <mergeCell ref="A3:B3"/>
    <mergeCell ref="A18:B18"/>
  </mergeCells>
  <pageMargins left="0.31496062992126" right="0.15748031496063" top="0.74803149606299202" bottom="0.47244094488188998" header="0.27559055118110198" footer="0.31496062992126"/>
  <pageSetup paperSize="9" scale="91" orientation="landscape" r:id="rId1"/>
  <headerFooter alignWithMargins="0"/>
  <rowBreaks count="1" manualBreakCount="1">
    <brk id="20" max="16383" man="1"/>
  </rowBreaks>
  <ignoredErrors>
    <ignoredError sqref="F18:G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K19"/>
  <sheetViews>
    <sheetView zoomScaleNormal="100" workbookViewId="0">
      <selection activeCell="M11" sqref="M11"/>
    </sheetView>
  </sheetViews>
  <sheetFormatPr defaultColWidth="9.28515625" defaultRowHeight="21.75"/>
  <cols>
    <col min="1" max="1" width="2.7109375" style="13" customWidth="1"/>
    <col min="2" max="2" width="31.42578125" style="13" customWidth="1"/>
    <col min="3" max="3" width="16.5703125" style="13" bestFit="1" customWidth="1"/>
    <col min="4" max="4" width="17.42578125" style="13" bestFit="1" customWidth="1"/>
    <col min="5" max="5" width="14.42578125" style="13" bestFit="1" customWidth="1"/>
    <col min="6" max="6" width="15.5703125" style="13" bestFit="1" customWidth="1"/>
    <col min="7" max="7" width="16.85546875" style="13" bestFit="1" customWidth="1"/>
    <col min="8" max="8" width="6.28515625" style="13" customWidth="1"/>
    <col min="9" max="9" width="7.5703125" style="13" customWidth="1"/>
    <col min="10" max="10" width="13.28515625" style="13" customWidth="1"/>
    <col min="11" max="16384" width="9.28515625" style="13"/>
  </cols>
  <sheetData>
    <row r="1" spans="1:11" s="17" customFormat="1" ht="24">
      <c r="A1" s="12" t="s">
        <v>366</v>
      </c>
    </row>
    <row r="2" spans="1:11" s="17" customFormat="1" ht="24">
      <c r="A2" s="12"/>
      <c r="J2" s="37" t="s">
        <v>63</v>
      </c>
      <c r="K2" s="66"/>
    </row>
    <row r="3" spans="1:11">
      <c r="A3" s="554" t="s">
        <v>43</v>
      </c>
      <c r="B3" s="565"/>
      <c r="C3" s="16" t="s">
        <v>22</v>
      </c>
      <c r="D3" s="16" t="s">
        <v>23</v>
      </c>
      <c r="E3" s="16" t="s">
        <v>24</v>
      </c>
      <c r="F3" s="16" t="s">
        <v>25</v>
      </c>
      <c r="G3" s="16" t="s">
        <v>26</v>
      </c>
      <c r="H3" s="67" t="s">
        <v>91</v>
      </c>
      <c r="I3" s="67" t="s">
        <v>6</v>
      </c>
      <c r="J3" s="68" t="s">
        <v>27</v>
      </c>
    </row>
    <row r="4" spans="1:11">
      <c r="A4" s="59" t="s">
        <v>109</v>
      </c>
      <c r="B4" s="42" t="s">
        <v>143</v>
      </c>
      <c r="C4" s="506">
        <f>C12-C9</f>
        <v>198056979.17975903</v>
      </c>
      <c r="D4" s="506">
        <f>D12-D9</f>
        <v>35635358.586794272</v>
      </c>
      <c r="E4" s="506">
        <f>E12-E9</f>
        <v>15361355.299074564</v>
      </c>
      <c r="F4" s="506">
        <f>F12-F9</f>
        <v>37610680.269556046</v>
      </c>
      <c r="G4" s="96">
        <f>SUM(C4:F4)</f>
        <v>286664373.33518386</v>
      </c>
      <c r="H4" s="247">
        <v>49</v>
      </c>
      <c r="I4" s="69" t="s">
        <v>8</v>
      </c>
      <c r="J4" s="53">
        <f>G4/H4</f>
        <v>5850293.3333710991</v>
      </c>
    </row>
    <row r="5" spans="1:11">
      <c r="A5" s="61"/>
      <c r="B5" s="49" t="s">
        <v>144</v>
      </c>
      <c r="C5" s="96"/>
      <c r="D5" s="96"/>
      <c r="E5" s="96"/>
      <c r="F5" s="96"/>
      <c r="G5" s="96"/>
      <c r="H5" s="219"/>
      <c r="I5" s="58"/>
      <c r="J5" s="47"/>
    </row>
    <row r="6" spans="1:11">
      <c r="A6" s="61"/>
      <c r="B6" s="49" t="s">
        <v>148</v>
      </c>
      <c r="C6" s="96"/>
      <c r="D6" s="96"/>
      <c r="E6" s="96"/>
      <c r="F6" s="96"/>
      <c r="G6" s="96"/>
      <c r="H6" s="58"/>
      <c r="I6" s="58"/>
      <c r="J6" s="47"/>
    </row>
    <row r="7" spans="1:11">
      <c r="A7" s="61"/>
      <c r="B7" s="49" t="s">
        <v>145</v>
      </c>
      <c r="C7" s="96"/>
      <c r="D7" s="96"/>
      <c r="E7" s="96"/>
      <c r="F7" s="96"/>
      <c r="G7" s="96"/>
      <c r="H7" s="58"/>
      <c r="I7" s="58"/>
      <c r="J7" s="48"/>
    </row>
    <row r="8" spans="1:11">
      <c r="A8" s="60"/>
      <c r="B8" s="46"/>
      <c r="C8" s="44"/>
      <c r="D8" s="71"/>
      <c r="E8" s="150"/>
      <c r="F8" s="150"/>
      <c r="G8" s="44"/>
      <c r="H8" s="72"/>
      <c r="I8" s="57"/>
      <c r="J8" s="43"/>
    </row>
    <row r="9" spans="1:11">
      <c r="A9" s="59" t="s">
        <v>110</v>
      </c>
      <c r="B9" s="42" t="s">
        <v>146</v>
      </c>
      <c r="C9" s="506">
        <v>37896049.200240977</v>
      </c>
      <c r="D9" s="506">
        <v>1408856.653205731</v>
      </c>
      <c r="E9" s="506">
        <v>533841.02092543652</v>
      </c>
      <c r="F9" s="506">
        <v>1189761.8404439352</v>
      </c>
      <c r="G9" s="40">
        <f>SUM(C9:F9)</f>
        <v>41028508.714816079</v>
      </c>
      <c r="H9" s="73">
        <v>3</v>
      </c>
      <c r="I9" s="74" t="s">
        <v>8</v>
      </c>
      <c r="J9" s="53">
        <f>G9/H9</f>
        <v>13676169.57160536</v>
      </c>
    </row>
    <row r="10" spans="1:11">
      <c r="A10" s="70"/>
      <c r="B10" s="49" t="s">
        <v>147</v>
      </c>
      <c r="C10" s="48"/>
      <c r="D10" s="52"/>
      <c r="E10" s="48"/>
      <c r="F10" s="52"/>
      <c r="G10" s="48"/>
      <c r="H10" s="56"/>
      <c r="I10" s="58"/>
      <c r="J10" s="48"/>
    </row>
    <row r="11" spans="1:11">
      <c r="A11" s="50"/>
      <c r="B11" s="46"/>
      <c r="C11" s="44"/>
      <c r="D11" s="71"/>
      <c r="E11" s="44"/>
      <c r="F11" s="71"/>
      <c r="G11" s="44"/>
      <c r="H11" s="56"/>
      <c r="I11" s="58"/>
      <c r="J11" s="43"/>
    </row>
    <row r="12" spans="1:11" s="17" customFormat="1" ht="22.5" thickBot="1">
      <c r="A12" s="566" t="s">
        <v>26</v>
      </c>
      <c r="B12" s="567"/>
      <c r="C12" s="55">
        <v>235953028.38</v>
      </c>
      <c r="D12" s="55">
        <v>37044215.240000002</v>
      </c>
      <c r="E12" s="55">
        <v>15895196.32</v>
      </c>
      <c r="F12" s="55">
        <v>38800442.109999985</v>
      </c>
      <c r="G12" s="75">
        <v>327692882.05000001</v>
      </c>
      <c r="H12" s="64">
        <f>SUM(H4:H11)</f>
        <v>52</v>
      </c>
      <c r="I12" s="527" t="s">
        <v>8</v>
      </c>
      <c r="J12" s="76"/>
    </row>
    <row r="13" spans="1:11" ht="22.5" hidden="1" thickTop="1">
      <c r="E13" s="13">
        <v>0</v>
      </c>
      <c r="F13" s="13" t="s">
        <v>64</v>
      </c>
      <c r="G13" s="77">
        <f>SUM(G4:G11)</f>
        <v>327692882.04999995</v>
      </c>
    </row>
    <row r="14" spans="1:11" ht="22.5" thickTop="1"/>
    <row r="15" spans="1:11">
      <c r="C15" s="34"/>
      <c r="D15" s="34"/>
      <c r="E15" s="34"/>
      <c r="F15" s="34"/>
      <c r="G15" s="34"/>
    </row>
    <row r="16" spans="1:11">
      <c r="C16" s="34"/>
      <c r="D16" s="34"/>
      <c r="E16" s="34"/>
      <c r="F16" s="34"/>
      <c r="G16" s="148"/>
      <c r="J16" s="306"/>
    </row>
    <row r="17" spans="3:7">
      <c r="G17" s="148"/>
    </row>
    <row r="18" spans="3:7">
      <c r="C18" s="34"/>
      <c r="D18" s="34"/>
      <c r="E18" s="34"/>
      <c r="F18" s="34"/>
      <c r="G18" s="34"/>
    </row>
    <row r="19" spans="3:7">
      <c r="C19" s="34"/>
      <c r="D19" s="34"/>
      <c r="E19" s="34"/>
      <c r="F19" s="34"/>
      <c r="G19" s="34"/>
    </row>
  </sheetData>
  <mergeCells count="2">
    <mergeCell ref="A3:B3"/>
    <mergeCell ref="A12:B12"/>
  </mergeCells>
  <pageMargins left="0.43307086614173201" right="0.31496062992126" top="0.74803149606299202" bottom="0.47244094488188998" header="0.27559055118110198" footer="0.31496062992126"/>
  <pageSetup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I12"/>
  <sheetViews>
    <sheetView workbookViewId="0"/>
  </sheetViews>
  <sheetFormatPr defaultColWidth="9.28515625" defaultRowHeight="24"/>
  <cols>
    <col min="1" max="1" width="31.42578125" style="2" customWidth="1"/>
    <col min="2" max="4" width="17.5703125" style="84" customWidth="1"/>
    <col min="5" max="5" width="14.42578125" style="84" bestFit="1" customWidth="1"/>
    <col min="6" max="6" width="15.140625" style="2" bestFit="1" customWidth="1"/>
    <col min="7" max="7" width="7.28515625" style="2" customWidth="1"/>
    <col min="8" max="8" width="8.7109375" style="2" customWidth="1"/>
    <col min="9" max="9" width="16.42578125" style="2" bestFit="1" customWidth="1"/>
    <col min="10" max="16384" width="9.28515625" style="2"/>
  </cols>
  <sheetData>
    <row r="1" spans="1:9">
      <c r="A1" s="12" t="s">
        <v>367</v>
      </c>
    </row>
    <row r="2" spans="1:9" ht="22.5" customHeight="1">
      <c r="I2" s="3" t="s">
        <v>63</v>
      </c>
    </row>
    <row r="3" spans="1:9">
      <c r="A3" s="4" t="s">
        <v>56</v>
      </c>
      <c r="B3" s="4" t="s">
        <v>37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5</v>
      </c>
      <c r="H3" s="35" t="s">
        <v>6</v>
      </c>
      <c r="I3" s="4" t="s">
        <v>27</v>
      </c>
    </row>
    <row r="4" spans="1:9">
      <c r="A4" s="39" t="s">
        <v>285</v>
      </c>
      <c r="B4" s="85">
        <v>235953028.38</v>
      </c>
      <c r="C4" s="85">
        <v>37044215.240000002</v>
      </c>
      <c r="D4" s="85">
        <v>15895196.32</v>
      </c>
      <c r="E4" s="85">
        <v>38800442.109999985</v>
      </c>
      <c r="F4" s="85">
        <f>SUM(B4:E4)</f>
        <v>327692882.04999995</v>
      </c>
      <c r="G4" s="81">
        <v>1</v>
      </c>
      <c r="H4" s="159" t="s">
        <v>214</v>
      </c>
      <c r="I4" s="160">
        <f>F4/G4</f>
        <v>327692882.04999995</v>
      </c>
    </row>
    <row r="5" spans="1:9">
      <c r="A5" s="43" t="s">
        <v>57</v>
      </c>
      <c r="B5" s="57"/>
      <c r="C5" s="57"/>
      <c r="D5" s="57"/>
      <c r="E5" s="57"/>
      <c r="F5" s="57"/>
      <c r="G5" s="58"/>
      <c r="H5" s="87"/>
      <c r="I5" s="88"/>
    </row>
    <row r="6" spans="1:9" s="7" customFormat="1" ht="24.75" thickBot="1">
      <c r="A6" s="54" t="s">
        <v>26</v>
      </c>
      <c r="B6" s="55">
        <f>SUM(B4:B5)</f>
        <v>235953028.38</v>
      </c>
      <c r="C6" s="55">
        <f>SUM(C4:C5)</f>
        <v>37044215.240000002</v>
      </c>
      <c r="D6" s="55">
        <f>SUM(D4:D5)</f>
        <v>15895196.32</v>
      </c>
      <c r="E6" s="55">
        <f>SUM(E4:E5)</f>
        <v>38800442.109999985</v>
      </c>
      <c r="F6" s="55">
        <f>SUM(F4:F5)</f>
        <v>327692882.04999995</v>
      </c>
      <c r="G6" s="54"/>
      <c r="H6" s="65"/>
      <c r="I6" s="76"/>
    </row>
    <row r="7" spans="1:9" ht="24.75" thickTop="1"/>
    <row r="8" spans="1:9">
      <c r="B8" s="190"/>
      <c r="C8" s="190"/>
      <c r="D8" s="190"/>
      <c r="E8" s="190"/>
      <c r="F8" s="190"/>
    </row>
    <row r="10" spans="1:9">
      <c r="B10" s="308"/>
      <c r="C10" s="308"/>
      <c r="D10" s="308"/>
      <c r="E10" s="308"/>
      <c r="I10" s="8"/>
    </row>
    <row r="11" spans="1:9">
      <c r="I11" s="8"/>
    </row>
    <row r="12" spans="1:9">
      <c r="I12" s="309"/>
    </row>
  </sheetData>
  <pageMargins left="0.35433070866141703" right="0.15748031496063" top="0.94488188976377996" bottom="0.98425196850393704" header="0.511811023622047" footer="0.511811023622047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Z83"/>
  <sheetViews>
    <sheetView zoomScale="115" zoomScaleNormal="115" zoomScaleSheetLayoutView="33" workbookViewId="0">
      <pane ySplit="5" topLeftCell="A35" activePane="bottomLeft" state="frozen"/>
      <selection pane="bottomLeft" activeCell="AU84" sqref="AU84"/>
    </sheetView>
  </sheetViews>
  <sheetFormatPr defaultColWidth="9.28515625" defaultRowHeight="21"/>
  <cols>
    <col min="1" max="1" width="3" style="395" customWidth="1"/>
    <col min="2" max="2" width="8.42578125" style="396" customWidth="1"/>
    <col min="3" max="3" width="23.7109375" style="396" customWidth="1"/>
    <col min="4" max="4" width="19.5703125" style="396" customWidth="1"/>
    <col min="5" max="5" width="17.140625" style="396" customWidth="1"/>
    <col min="6" max="6" width="16.42578125" style="396" customWidth="1"/>
    <col min="7" max="7" width="17" style="396" customWidth="1"/>
    <col min="8" max="8" width="16.28515625" style="396" customWidth="1"/>
    <col min="9" max="9" width="16.7109375" style="396" customWidth="1"/>
    <col min="10" max="10" width="15.42578125" style="398" customWidth="1"/>
    <col min="11" max="11" width="27.140625" style="396" customWidth="1"/>
    <col min="12" max="12" width="15.5703125" style="396" customWidth="1"/>
    <col min="13" max="13" width="16.85546875" style="402" customWidth="1"/>
    <col min="14" max="14" width="16" style="402" customWidth="1"/>
    <col min="15" max="15" width="16.28515625" style="402" customWidth="1"/>
    <col min="16" max="16" width="15.42578125" style="402" customWidth="1"/>
    <col min="17" max="17" width="17.140625" style="402" customWidth="1"/>
    <col min="18" max="18" width="14.140625" style="400" bestFit="1" customWidth="1"/>
    <col min="19" max="19" width="25.5703125" style="396" bestFit="1" customWidth="1"/>
    <col min="20" max="20" width="15.140625" style="396" customWidth="1"/>
    <col min="21" max="21" width="9.7109375" style="401" customWidth="1"/>
    <col min="22" max="22" width="8.28515625" style="401" customWidth="1"/>
    <col min="23" max="23" width="11.5703125" style="401" customWidth="1"/>
    <col min="24" max="26" width="0" style="396" hidden="1" customWidth="1"/>
    <col min="27" max="16384" width="9.28515625" style="396"/>
  </cols>
  <sheetData>
    <row r="1" spans="1:23" s="311" customFormat="1" ht="24">
      <c r="A1" s="568" t="s">
        <v>368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8"/>
      <c r="T1" s="568"/>
      <c r="U1" s="568"/>
      <c r="V1" s="568"/>
      <c r="W1" s="568"/>
    </row>
    <row r="2" spans="1:23" s="311" customFormat="1" ht="24">
      <c r="A2" s="355" t="s">
        <v>203</v>
      </c>
      <c r="J2" s="356"/>
      <c r="M2" s="316"/>
      <c r="N2" s="316"/>
      <c r="O2" s="316"/>
      <c r="P2" s="316"/>
      <c r="Q2" s="316"/>
      <c r="R2" s="357"/>
      <c r="U2" s="358"/>
      <c r="V2" s="358"/>
      <c r="W2" s="358"/>
    </row>
    <row r="3" spans="1:23" s="311" customFormat="1" ht="22.5" thickBot="1">
      <c r="A3" s="359"/>
      <c r="J3" s="356"/>
      <c r="M3" s="316"/>
      <c r="N3" s="316"/>
      <c r="O3" s="316"/>
      <c r="P3" s="316"/>
      <c r="Q3" s="316"/>
      <c r="R3" s="357"/>
      <c r="U3" s="358"/>
      <c r="V3" s="358"/>
      <c r="W3" s="360" t="s">
        <v>63</v>
      </c>
    </row>
    <row r="4" spans="1:23" s="311" customFormat="1" ht="21.75">
      <c r="A4" s="569" t="s">
        <v>297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1"/>
      <c r="M4" s="569" t="s">
        <v>370</v>
      </c>
      <c r="N4" s="570"/>
      <c r="O4" s="570"/>
      <c r="P4" s="570"/>
      <c r="Q4" s="570"/>
      <c r="R4" s="570"/>
      <c r="S4" s="570"/>
      <c r="T4" s="570"/>
      <c r="U4" s="572" t="s">
        <v>70</v>
      </c>
      <c r="V4" s="572"/>
      <c r="W4" s="573"/>
    </row>
    <row r="5" spans="1:23" s="367" customFormat="1" ht="105" customHeight="1">
      <c r="A5" s="574" t="s">
        <v>7</v>
      </c>
      <c r="B5" s="575"/>
      <c r="C5" s="575"/>
      <c r="D5" s="575"/>
      <c r="E5" s="361" t="s">
        <v>68</v>
      </c>
      <c r="F5" s="361" t="s">
        <v>69</v>
      </c>
      <c r="G5" s="361" t="s">
        <v>24</v>
      </c>
      <c r="H5" s="361" t="s">
        <v>25</v>
      </c>
      <c r="I5" s="361" t="s">
        <v>26</v>
      </c>
      <c r="J5" s="362" t="s">
        <v>5</v>
      </c>
      <c r="K5" s="361" t="s">
        <v>6</v>
      </c>
      <c r="L5" s="363" t="s">
        <v>27</v>
      </c>
      <c r="M5" s="364" t="s">
        <v>68</v>
      </c>
      <c r="N5" s="365" t="s">
        <v>69</v>
      </c>
      <c r="O5" s="365" t="s">
        <v>24</v>
      </c>
      <c r="P5" s="365" t="s">
        <v>25</v>
      </c>
      <c r="Q5" s="365" t="s">
        <v>26</v>
      </c>
      <c r="R5" s="365" t="s">
        <v>5</v>
      </c>
      <c r="S5" s="361" t="s">
        <v>6</v>
      </c>
      <c r="T5" s="361" t="s">
        <v>27</v>
      </c>
      <c r="U5" s="366" t="s">
        <v>71</v>
      </c>
      <c r="V5" s="366" t="s">
        <v>72</v>
      </c>
      <c r="W5" s="454" t="s">
        <v>73</v>
      </c>
    </row>
    <row r="6" spans="1:23" s="311" customFormat="1" ht="21.75" customHeight="1">
      <c r="A6" s="423" t="s">
        <v>74</v>
      </c>
      <c r="B6" s="368"/>
      <c r="C6" s="368"/>
      <c r="D6" s="368"/>
      <c r="E6" s="258"/>
      <c r="F6" s="258"/>
      <c r="G6" s="255"/>
      <c r="H6" s="255"/>
      <c r="I6" s="255"/>
      <c r="J6" s="369"/>
      <c r="K6" s="332"/>
      <c r="L6" s="370"/>
      <c r="M6" s="371"/>
      <c r="N6" s="292"/>
      <c r="O6" s="292"/>
      <c r="P6" s="292"/>
      <c r="Q6" s="292"/>
      <c r="R6" s="372"/>
      <c r="S6" s="332"/>
      <c r="T6" s="332"/>
      <c r="U6" s="373"/>
      <c r="V6" s="373"/>
      <c r="W6" s="455"/>
    </row>
    <row r="7" spans="1:23" s="311" customFormat="1" ht="21.75" customHeight="1">
      <c r="A7" s="381" t="s">
        <v>109</v>
      </c>
      <c r="B7" s="576" t="s">
        <v>331</v>
      </c>
      <c r="C7" s="576"/>
      <c r="D7" s="576"/>
      <c r="E7" s="297">
        <v>2853731.4573136671</v>
      </c>
      <c r="F7" s="297">
        <v>794777.48180561222</v>
      </c>
      <c r="G7" s="297">
        <v>319256.76585292426</v>
      </c>
      <c r="H7" s="297">
        <v>886450.7016247923</v>
      </c>
      <c r="I7" s="297">
        <f>SUM(E7:H7)</f>
        <v>4854216.4065969959</v>
      </c>
      <c r="J7" s="375">
        <v>12</v>
      </c>
      <c r="K7" s="376" t="s">
        <v>8</v>
      </c>
      <c r="L7" s="377">
        <f>I7/J7</f>
        <v>404518.03388308297</v>
      </c>
      <c r="M7" s="294">
        <v>2958001.2707210453</v>
      </c>
      <c r="N7" s="295">
        <v>783780.6547529893</v>
      </c>
      <c r="O7" s="295">
        <v>355923.66322356218</v>
      </c>
      <c r="P7" s="295">
        <v>834609.05225171638</v>
      </c>
      <c r="Q7" s="295">
        <f>SUM(M7:P7)</f>
        <v>4932314.6409493135</v>
      </c>
      <c r="R7" s="378">
        <v>12</v>
      </c>
      <c r="S7" s="376" t="s">
        <v>8</v>
      </c>
      <c r="T7" s="297">
        <f>Q7/R7</f>
        <v>411026.22007910948</v>
      </c>
      <c r="U7" s="379">
        <f t="shared" ref="U7:V9" si="0">(Q7-I7)*100/I7</f>
        <v>1.6088741788722125</v>
      </c>
      <c r="V7" s="379">
        <f t="shared" si="0"/>
        <v>0</v>
      </c>
      <c r="W7" s="456">
        <f>(T7-L7)*100/L7</f>
        <v>1.6088741788722223</v>
      </c>
    </row>
    <row r="8" spans="1:23" s="311" customFormat="1" ht="21.75" customHeight="1">
      <c r="A8" s="380"/>
      <c r="B8" s="576" t="s">
        <v>378</v>
      </c>
      <c r="C8" s="576"/>
      <c r="D8" s="577"/>
      <c r="E8" s="297">
        <v>2853731.4573136671</v>
      </c>
      <c r="F8" s="297">
        <v>794777.48180561222</v>
      </c>
      <c r="G8" s="297">
        <v>319256.76585292426</v>
      </c>
      <c r="H8" s="297">
        <v>886450.7016247923</v>
      </c>
      <c r="I8" s="297">
        <f>SUM(E8:H8)</f>
        <v>4854216.4065969959</v>
      </c>
      <c r="J8" s="375">
        <v>3</v>
      </c>
      <c r="K8" s="376" t="s">
        <v>8</v>
      </c>
      <c r="L8" s="377">
        <f>I8/J8</f>
        <v>1618072.1355323319</v>
      </c>
      <c r="M8" s="294">
        <v>2958001.2707210453</v>
      </c>
      <c r="N8" s="295">
        <v>783780.6547529893</v>
      </c>
      <c r="O8" s="295">
        <v>355923.66322356218</v>
      </c>
      <c r="P8" s="295">
        <v>834609.05225171638</v>
      </c>
      <c r="Q8" s="295">
        <f>SUM(M8:P8)</f>
        <v>4932314.6409493135</v>
      </c>
      <c r="R8" s="378">
        <v>3</v>
      </c>
      <c r="S8" s="376" t="s">
        <v>8</v>
      </c>
      <c r="T8" s="297">
        <f>Q8/R8</f>
        <v>1644104.8803164379</v>
      </c>
      <c r="U8" s="379">
        <f t="shared" si="0"/>
        <v>1.6088741788722125</v>
      </c>
      <c r="V8" s="379">
        <f t="shared" si="0"/>
        <v>0</v>
      </c>
      <c r="W8" s="456">
        <f>(T8-L8)*100/L8</f>
        <v>1.6088741788722223</v>
      </c>
    </row>
    <row r="9" spans="1:23" s="311" customFormat="1" ht="21.75" customHeight="1">
      <c r="A9" s="380"/>
      <c r="B9" s="576" t="s">
        <v>334</v>
      </c>
      <c r="C9" s="576"/>
      <c r="D9" s="577"/>
      <c r="E9" s="297">
        <v>2853731.4573136671</v>
      </c>
      <c r="F9" s="297">
        <v>794777.48180561222</v>
      </c>
      <c r="G9" s="297">
        <v>319256.76585292426</v>
      </c>
      <c r="H9" s="297">
        <v>886450.7016247923</v>
      </c>
      <c r="I9" s="297">
        <f>SUM(E9:H9)</f>
        <v>4854216.4065969959</v>
      </c>
      <c r="J9" s="375">
        <v>4</v>
      </c>
      <c r="K9" s="376" t="s">
        <v>8</v>
      </c>
      <c r="L9" s="377">
        <f>I9/J9</f>
        <v>1213554.101649249</v>
      </c>
      <c r="M9" s="294">
        <v>2958001.2707210453</v>
      </c>
      <c r="N9" s="295">
        <v>783780.6547529893</v>
      </c>
      <c r="O9" s="295">
        <v>355923.66322356218</v>
      </c>
      <c r="P9" s="295">
        <v>834609.05225171638</v>
      </c>
      <c r="Q9" s="295">
        <f>SUM(M9:P9)</f>
        <v>4932314.6409493135</v>
      </c>
      <c r="R9" s="378">
        <v>4</v>
      </c>
      <c r="S9" s="376" t="s">
        <v>8</v>
      </c>
      <c r="T9" s="297">
        <f>Q9/R9</f>
        <v>1233078.6602373284</v>
      </c>
      <c r="U9" s="379">
        <f t="shared" si="0"/>
        <v>1.6088741788722125</v>
      </c>
      <c r="V9" s="379">
        <f t="shared" si="0"/>
        <v>0</v>
      </c>
      <c r="W9" s="456">
        <f>(T9-L9)*100/L9</f>
        <v>1.6088741788722125</v>
      </c>
    </row>
    <row r="10" spans="1:23" s="311" customFormat="1" ht="21.75" customHeight="1">
      <c r="A10" s="380"/>
      <c r="B10" s="576" t="s">
        <v>379</v>
      </c>
      <c r="C10" s="576"/>
      <c r="D10" s="577"/>
      <c r="E10" s="297"/>
      <c r="F10" s="297"/>
      <c r="G10" s="297"/>
      <c r="H10" s="297"/>
      <c r="I10" s="297"/>
      <c r="J10" s="375"/>
      <c r="K10" s="376"/>
      <c r="L10" s="377"/>
      <c r="M10" s="294"/>
      <c r="N10" s="295"/>
      <c r="O10" s="295"/>
      <c r="P10" s="295"/>
      <c r="Q10" s="295"/>
      <c r="R10" s="378"/>
      <c r="S10" s="376"/>
      <c r="T10" s="297"/>
      <c r="U10" s="379"/>
      <c r="V10" s="379"/>
      <c r="W10" s="456"/>
    </row>
    <row r="11" spans="1:23" s="311" customFormat="1" ht="21.75" customHeight="1">
      <c r="A11" s="380"/>
      <c r="B11" s="576" t="s">
        <v>336</v>
      </c>
      <c r="C11" s="576"/>
      <c r="D11" s="577"/>
      <c r="E11" s="297">
        <v>2853731.4573136671</v>
      </c>
      <c r="F11" s="297">
        <v>794777.48180561222</v>
      </c>
      <c r="G11" s="297">
        <v>319256.76585292426</v>
      </c>
      <c r="H11" s="297">
        <v>886450.7016247923</v>
      </c>
      <c r="I11" s="297">
        <f>SUM(E11:H11)</f>
        <v>4854216.4065969959</v>
      </c>
      <c r="J11" s="375">
        <v>2</v>
      </c>
      <c r="K11" s="376" t="s">
        <v>8</v>
      </c>
      <c r="L11" s="377">
        <f>I11/J11</f>
        <v>2427108.2032984979</v>
      </c>
      <c r="M11" s="294">
        <v>2958001.2707210453</v>
      </c>
      <c r="N11" s="295">
        <v>783780.6547529893</v>
      </c>
      <c r="O11" s="295">
        <v>355923.66322356218</v>
      </c>
      <c r="P11" s="295">
        <v>834609.05225171638</v>
      </c>
      <c r="Q11" s="295">
        <f>SUM(M11:P11)</f>
        <v>4932314.6409493135</v>
      </c>
      <c r="R11" s="378">
        <v>3</v>
      </c>
      <c r="S11" s="376" t="s">
        <v>8</v>
      </c>
      <c r="T11" s="297">
        <f>Q11/R11</f>
        <v>1644104.8803164379</v>
      </c>
      <c r="U11" s="379">
        <f t="shared" ref="U11:V13" si="1">(Q11-I11)*100/I11</f>
        <v>1.6088741788722125</v>
      </c>
      <c r="V11" s="379">
        <f t="shared" si="1"/>
        <v>50</v>
      </c>
      <c r="W11" s="456">
        <f>(T11-L11)*100/L11</f>
        <v>-32.260750547418525</v>
      </c>
    </row>
    <row r="12" spans="1:23" s="311" customFormat="1" ht="21.75" customHeight="1">
      <c r="A12" s="380"/>
      <c r="B12" s="576" t="s">
        <v>380</v>
      </c>
      <c r="C12" s="576"/>
      <c r="D12" s="577"/>
      <c r="E12" s="297">
        <v>2853731.4573136671</v>
      </c>
      <c r="F12" s="297">
        <v>794777.48180561222</v>
      </c>
      <c r="G12" s="297">
        <v>319256.76585292426</v>
      </c>
      <c r="H12" s="297">
        <v>886450.7016247923</v>
      </c>
      <c r="I12" s="297">
        <f>SUM(E12:H12)</f>
        <v>4854216.4065969959</v>
      </c>
      <c r="J12" s="375">
        <v>2</v>
      </c>
      <c r="K12" s="376" t="s">
        <v>8</v>
      </c>
      <c r="L12" s="377">
        <f>I12/J12</f>
        <v>2427108.2032984979</v>
      </c>
      <c r="M12" s="294">
        <v>2958001.2707210453</v>
      </c>
      <c r="N12" s="295">
        <v>783780.6547529893</v>
      </c>
      <c r="O12" s="295">
        <v>355923.66322356218</v>
      </c>
      <c r="P12" s="295">
        <v>834609.05225171638</v>
      </c>
      <c r="Q12" s="295">
        <f>SUM(M12:P12)</f>
        <v>4932314.6409493135</v>
      </c>
      <c r="R12" s="378">
        <v>2</v>
      </c>
      <c r="S12" s="376" t="s">
        <v>8</v>
      </c>
      <c r="T12" s="297">
        <f>Q12/R12</f>
        <v>2466157.3204746568</v>
      </c>
      <c r="U12" s="379">
        <f t="shared" si="1"/>
        <v>1.6088741788722125</v>
      </c>
      <c r="V12" s="379">
        <f t="shared" si="1"/>
        <v>0</v>
      </c>
      <c r="W12" s="456">
        <f>(T12-L12)*100/L12</f>
        <v>1.6088741788722125</v>
      </c>
    </row>
    <row r="13" spans="1:23" s="316" customFormat="1" ht="21.75" customHeight="1">
      <c r="A13" s="381" t="s">
        <v>110</v>
      </c>
      <c r="B13" s="578" t="s">
        <v>107</v>
      </c>
      <c r="C13" s="578"/>
      <c r="D13" s="578"/>
      <c r="E13" s="297">
        <v>14477805.82</v>
      </c>
      <c r="F13" s="295">
        <v>1981102.0238243195</v>
      </c>
      <c r="G13" s="295">
        <v>1458430.9820293386</v>
      </c>
      <c r="H13" s="295">
        <v>3841286.3737074332</v>
      </c>
      <c r="I13" s="295">
        <v>21758625.196586985</v>
      </c>
      <c r="J13" s="378">
        <v>42</v>
      </c>
      <c r="K13" s="382" t="s">
        <v>8</v>
      </c>
      <c r="L13" s="383">
        <f>I13/J13</f>
        <v>518062.50468064251</v>
      </c>
      <c r="M13" s="294">
        <v>15313430.6241321</v>
      </c>
      <c r="N13" s="295">
        <v>1371795.8306510174</v>
      </c>
      <c r="O13" s="295">
        <v>1539238.3909513282</v>
      </c>
      <c r="P13" s="295">
        <v>3551527.8819221971</v>
      </c>
      <c r="Q13" s="295">
        <f>SUM(M13:P13)</f>
        <v>21775992.727656644</v>
      </c>
      <c r="R13" s="384">
        <v>61</v>
      </c>
      <c r="S13" s="382" t="s">
        <v>8</v>
      </c>
      <c r="T13" s="295">
        <f>Q13/R13</f>
        <v>356983.48733863351</v>
      </c>
      <c r="U13" s="379">
        <f t="shared" si="1"/>
        <v>7.9819064452578248E-2</v>
      </c>
      <c r="V13" s="379">
        <f t="shared" si="1"/>
        <v>45.238095238095241</v>
      </c>
      <c r="W13" s="456">
        <f>(T13-L13)*100/L13</f>
        <v>-31.092583594967078</v>
      </c>
    </row>
    <row r="14" spans="1:23" s="311" customFormat="1" ht="21.75" customHeight="1">
      <c r="A14" s="380"/>
      <c r="B14" s="578" t="s">
        <v>108</v>
      </c>
      <c r="C14" s="578"/>
      <c r="D14" s="578"/>
      <c r="E14" s="297"/>
      <c r="F14" s="297"/>
      <c r="G14" s="297"/>
      <c r="H14" s="297"/>
      <c r="I14" s="297"/>
      <c r="J14" s="375"/>
      <c r="K14" s="376"/>
      <c r="L14" s="377"/>
      <c r="M14" s="294"/>
      <c r="N14" s="295"/>
      <c r="O14" s="295"/>
      <c r="P14" s="295"/>
      <c r="Q14" s="295"/>
      <c r="R14" s="385"/>
      <c r="S14" s="376"/>
      <c r="T14" s="297"/>
      <c r="U14" s="379"/>
      <c r="V14" s="379"/>
      <c r="W14" s="456"/>
    </row>
    <row r="15" spans="1:23" s="311" customFormat="1" ht="21.75" customHeight="1">
      <c r="A15" s="381" t="s">
        <v>111</v>
      </c>
      <c r="B15" s="576" t="s">
        <v>198</v>
      </c>
      <c r="C15" s="579"/>
      <c r="D15" s="579"/>
      <c r="E15" s="297">
        <v>12732968.336873375</v>
      </c>
      <c r="F15" s="297">
        <v>3034867.9088922334</v>
      </c>
      <c r="G15" s="297">
        <v>1330301.3377744332</v>
      </c>
      <c r="H15" s="297">
        <v>4038275.4185129474</v>
      </c>
      <c r="I15" s="297">
        <v>21136413.002052989</v>
      </c>
      <c r="J15" s="375">
        <v>6</v>
      </c>
      <c r="K15" s="376" t="s">
        <v>8</v>
      </c>
      <c r="L15" s="377">
        <f>I15/J15</f>
        <v>3522735.5003421647</v>
      </c>
      <c r="M15" s="296">
        <v>15509629.935485411</v>
      </c>
      <c r="N15" s="297">
        <v>2496854.6396672926</v>
      </c>
      <c r="O15" s="297">
        <v>1481880.0659751112</v>
      </c>
      <c r="P15" s="297">
        <v>3640316.0789702535</v>
      </c>
      <c r="Q15" s="295">
        <f>SUM(M15:P15)</f>
        <v>23128680.720098067</v>
      </c>
      <c r="R15" s="384">
        <v>5</v>
      </c>
      <c r="S15" s="376" t="s">
        <v>8</v>
      </c>
      <c r="T15" s="297">
        <f>Q15/R15</f>
        <v>4625736.144019613</v>
      </c>
      <c r="U15" s="379">
        <f>(Q15-I15)*100/I15</f>
        <v>9.4257607374135262</v>
      </c>
      <c r="V15" s="379">
        <f>(R15-J15)*100/J15</f>
        <v>-16.666666666666668</v>
      </c>
      <c r="W15" s="456">
        <f>(T15-L15)*100/L15</f>
        <v>31.310912884896226</v>
      </c>
    </row>
    <row r="16" spans="1:23" s="311" customFormat="1" ht="21.75" customHeight="1">
      <c r="A16" s="380"/>
      <c r="B16" s="576" t="s">
        <v>199</v>
      </c>
      <c r="C16" s="576"/>
      <c r="D16" s="576"/>
      <c r="E16" s="297"/>
      <c r="F16" s="297"/>
      <c r="G16" s="297"/>
      <c r="H16" s="297"/>
      <c r="I16" s="297"/>
      <c r="J16" s="375"/>
      <c r="K16" s="376"/>
      <c r="L16" s="377"/>
      <c r="M16" s="294"/>
      <c r="N16" s="295"/>
      <c r="O16" s="295"/>
      <c r="P16" s="295"/>
      <c r="Q16" s="295"/>
      <c r="R16" s="385"/>
      <c r="S16" s="376"/>
      <c r="T16" s="297"/>
      <c r="U16" s="379"/>
      <c r="V16" s="379"/>
      <c r="W16" s="456"/>
    </row>
    <row r="17" spans="1:24" s="311" customFormat="1" ht="21.75" customHeight="1">
      <c r="A17" s="381" t="s">
        <v>114</v>
      </c>
      <c r="B17" s="576" t="s">
        <v>107</v>
      </c>
      <c r="C17" s="576"/>
      <c r="D17" s="576"/>
      <c r="E17" s="297">
        <v>8998221.1384748127</v>
      </c>
      <c r="F17" s="297">
        <v>1501609.2306791383</v>
      </c>
      <c r="G17" s="297">
        <v>760137.37745094299</v>
      </c>
      <c r="H17" s="297">
        <v>1969890.4480550953</v>
      </c>
      <c r="I17" s="297">
        <v>13229858.194659989</v>
      </c>
      <c r="J17" s="375">
        <v>3</v>
      </c>
      <c r="K17" s="376" t="s">
        <v>8</v>
      </c>
      <c r="L17" s="377">
        <f>I17/J17</f>
        <v>4409952.7315533301</v>
      </c>
      <c r="M17" s="296">
        <v>7520442.4257127494</v>
      </c>
      <c r="N17" s="297">
        <v>2706361.4413092332</v>
      </c>
      <c r="O17" s="297">
        <v>796288.47545188072</v>
      </c>
      <c r="P17" s="297">
        <v>1686975.743913044</v>
      </c>
      <c r="Q17" s="295">
        <f>SUM(M17:P17)</f>
        <v>12710068.086386906</v>
      </c>
      <c r="R17" s="384">
        <v>3</v>
      </c>
      <c r="S17" s="376" t="s">
        <v>8</v>
      </c>
      <c r="T17" s="297">
        <f>Q17/R17</f>
        <v>4236689.3621289684</v>
      </c>
      <c r="U17" s="379">
        <f>(Q17-I17)*100/I17</f>
        <v>-3.9289167020919993</v>
      </c>
      <c r="V17" s="379">
        <f>(R17-J17)*100/J17</f>
        <v>0</v>
      </c>
      <c r="W17" s="456">
        <f>(T17-L17)*100/L17</f>
        <v>-3.928916702092013</v>
      </c>
    </row>
    <row r="18" spans="1:24" s="311" customFormat="1" ht="21.75" customHeight="1">
      <c r="A18" s="380"/>
      <c r="B18" s="576" t="s">
        <v>112</v>
      </c>
      <c r="C18" s="576"/>
      <c r="D18" s="576"/>
      <c r="E18" s="297"/>
      <c r="F18" s="297"/>
      <c r="G18" s="297"/>
      <c r="H18" s="297"/>
      <c r="I18" s="297"/>
      <c r="J18" s="375"/>
      <c r="K18" s="376"/>
      <c r="L18" s="377"/>
      <c r="M18" s="294"/>
      <c r="N18" s="295"/>
      <c r="O18" s="295"/>
      <c r="P18" s="295"/>
      <c r="Q18" s="295"/>
      <c r="R18" s="385"/>
      <c r="S18" s="376"/>
      <c r="T18" s="297"/>
      <c r="U18" s="379"/>
      <c r="V18" s="379"/>
      <c r="W18" s="456"/>
    </row>
    <row r="19" spans="1:24" s="311" customFormat="1" ht="21.75" customHeight="1">
      <c r="A19" s="380"/>
      <c r="B19" s="576" t="s">
        <v>113</v>
      </c>
      <c r="C19" s="576"/>
      <c r="D19" s="576"/>
      <c r="E19" s="297"/>
      <c r="F19" s="297"/>
      <c r="G19" s="297"/>
      <c r="H19" s="297"/>
      <c r="I19" s="297"/>
      <c r="J19" s="375"/>
      <c r="K19" s="376"/>
      <c r="L19" s="377"/>
      <c r="M19" s="294"/>
      <c r="N19" s="295"/>
      <c r="O19" s="295"/>
      <c r="P19" s="295"/>
      <c r="Q19" s="295"/>
      <c r="R19" s="385"/>
      <c r="S19" s="376"/>
      <c r="T19" s="297"/>
      <c r="U19" s="379"/>
      <c r="V19" s="379"/>
      <c r="W19" s="456"/>
    </row>
    <row r="20" spans="1:24" s="311" customFormat="1" ht="21.75" customHeight="1">
      <c r="A20" s="381" t="s">
        <v>115</v>
      </c>
      <c r="B20" s="579" t="s">
        <v>107</v>
      </c>
      <c r="C20" s="579"/>
      <c r="D20" s="579"/>
      <c r="E20" s="297">
        <v>14257464.307788488</v>
      </c>
      <c r="F20" s="297">
        <v>1595243.7284847503</v>
      </c>
      <c r="G20" s="297">
        <v>1191078.3333038674</v>
      </c>
      <c r="H20" s="297">
        <v>2856341.1496798871</v>
      </c>
      <c r="I20" s="297">
        <v>19900127.519256994</v>
      </c>
      <c r="J20" s="375">
        <v>5</v>
      </c>
      <c r="K20" s="376" t="s">
        <v>8</v>
      </c>
      <c r="L20" s="377">
        <f>I20/J20</f>
        <v>3980025.5038513988</v>
      </c>
      <c r="M20" s="296">
        <v>12086236.556539174</v>
      </c>
      <c r="N20" s="297">
        <v>1575761.3834394361</v>
      </c>
      <c r="O20" s="297">
        <v>1113966.8556421464</v>
      </c>
      <c r="P20" s="297">
        <v>2397281.3202974824</v>
      </c>
      <c r="Q20" s="295">
        <f>SUM(M20:P20)</f>
        <v>17173246.115918241</v>
      </c>
      <c r="R20" s="384">
        <v>5</v>
      </c>
      <c r="S20" s="376" t="s">
        <v>8</v>
      </c>
      <c r="T20" s="297">
        <f>Q20/R20</f>
        <v>3434649.2231836482</v>
      </c>
      <c r="U20" s="379">
        <f>(Q20-I20)*100/I20</f>
        <v>-13.70283381701951</v>
      </c>
      <c r="V20" s="379">
        <f>(R20-J20)*100/J20</f>
        <v>0</v>
      </c>
      <c r="W20" s="456">
        <f>(T20-L20)*100/L20</f>
        <v>-13.70283381701951</v>
      </c>
    </row>
    <row r="21" spans="1:24" s="311" customFormat="1" ht="21.75" customHeight="1">
      <c r="A21" s="380"/>
      <c r="B21" s="578" t="s">
        <v>116</v>
      </c>
      <c r="C21" s="578"/>
      <c r="D21" s="578"/>
      <c r="E21" s="297"/>
      <c r="F21" s="297"/>
      <c r="G21" s="297"/>
      <c r="H21" s="297"/>
      <c r="I21" s="297"/>
      <c r="J21" s="375"/>
      <c r="K21" s="376"/>
      <c r="L21" s="377"/>
      <c r="M21" s="294"/>
      <c r="N21" s="295"/>
      <c r="O21" s="295"/>
      <c r="P21" s="295"/>
      <c r="Q21" s="295"/>
      <c r="R21" s="385"/>
      <c r="S21" s="376"/>
      <c r="T21" s="297"/>
      <c r="U21" s="379"/>
      <c r="V21" s="379"/>
      <c r="W21" s="456"/>
    </row>
    <row r="22" spans="1:24" s="311" customFormat="1" ht="21.75" customHeight="1">
      <c r="A22" s="381" t="s">
        <v>117</v>
      </c>
      <c r="B22" s="576" t="s">
        <v>107</v>
      </c>
      <c r="C22" s="576"/>
      <c r="D22" s="576"/>
      <c r="E22" s="297">
        <v>13709278.997559704</v>
      </c>
      <c r="F22" s="297">
        <v>4283428.3610866219</v>
      </c>
      <c r="G22" s="297">
        <v>1095731.0219215087</v>
      </c>
      <c r="H22" s="297">
        <v>3151824.7168881507</v>
      </c>
      <c r="I22" s="297">
        <v>22240263.097455986</v>
      </c>
      <c r="J22" s="375">
        <v>40</v>
      </c>
      <c r="K22" s="376" t="s">
        <v>8</v>
      </c>
      <c r="L22" s="377">
        <f>I22/J22</f>
        <v>556006.57743639965</v>
      </c>
      <c r="M22" s="296">
        <v>12340345.006012291</v>
      </c>
      <c r="N22" s="297">
        <v>2482741.4365533646</v>
      </c>
      <c r="O22" s="297">
        <v>1170265.9708086289</v>
      </c>
      <c r="P22" s="297">
        <v>3018798.6996338675</v>
      </c>
      <c r="Q22" s="295">
        <f>SUM(M22:P22)</f>
        <v>19012151.113008153</v>
      </c>
      <c r="R22" s="384">
        <v>16</v>
      </c>
      <c r="S22" s="376" t="s">
        <v>342</v>
      </c>
      <c r="T22" s="297">
        <f>Q22/R22</f>
        <v>1188259.4445630095</v>
      </c>
      <c r="U22" s="379">
        <f>(Q22-I22)*100/I22</f>
        <v>-14.514720308399093</v>
      </c>
      <c r="V22" s="379">
        <f>(R22-J22)*100/J22</f>
        <v>-60</v>
      </c>
      <c r="W22" s="456">
        <f>(T22-L22)*100/L22</f>
        <v>113.71319922900227</v>
      </c>
    </row>
    <row r="23" spans="1:24" s="311" customFormat="1" ht="21.75" customHeight="1">
      <c r="A23" s="380"/>
      <c r="B23" s="576" t="s">
        <v>118</v>
      </c>
      <c r="C23" s="576"/>
      <c r="D23" s="576"/>
      <c r="E23" s="297"/>
      <c r="F23" s="297"/>
      <c r="G23" s="297"/>
      <c r="H23" s="297"/>
      <c r="I23" s="297"/>
      <c r="J23" s="375"/>
      <c r="K23" s="376"/>
      <c r="L23" s="377"/>
      <c r="M23" s="294"/>
      <c r="N23" s="295"/>
      <c r="O23" s="295"/>
      <c r="P23" s="295"/>
      <c r="Q23" s="295"/>
      <c r="R23" s="385"/>
      <c r="S23" s="376"/>
      <c r="T23" s="297"/>
      <c r="U23" s="379"/>
      <c r="V23" s="379"/>
      <c r="W23" s="456"/>
    </row>
    <row r="24" spans="1:24" s="316" customFormat="1" ht="21.75" customHeight="1">
      <c r="A24" s="381" t="s">
        <v>120</v>
      </c>
      <c r="B24" s="578" t="s">
        <v>107</v>
      </c>
      <c r="C24" s="578"/>
      <c r="D24" s="578"/>
      <c r="E24" s="295">
        <v>22607885.776873358</v>
      </c>
      <c r="F24" s="295">
        <v>2221891.4888922335</v>
      </c>
      <c r="G24" s="295">
        <v>1463752.7877744331</v>
      </c>
      <c r="H24" s="295">
        <v>4038275.4185129455</v>
      </c>
      <c r="I24" s="295">
        <v>30331805.472052969</v>
      </c>
      <c r="J24" s="378">
        <v>7</v>
      </c>
      <c r="K24" s="382" t="s">
        <v>8</v>
      </c>
      <c r="L24" s="383">
        <f>I24/J24</f>
        <v>4333115.0674361382</v>
      </c>
      <c r="M24" s="294">
        <v>49224362.056012303</v>
      </c>
      <c r="N24" s="295">
        <v>1925703.4065533639</v>
      </c>
      <c r="O24" s="295">
        <v>1492192.9608086287</v>
      </c>
      <c r="P24" s="295">
        <v>3018798.6996338661</v>
      </c>
      <c r="Q24" s="295">
        <f>SUM(M24:P24)</f>
        <v>55661057.123008162</v>
      </c>
      <c r="R24" s="384">
        <v>4</v>
      </c>
      <c r="S24" s="382" t="s">
        <v>8</v>
      </c>
      <c r="T24" s="295">
        <f>Q24/R24</f>
        <v>13915264.28075204</v>
      </c>
      <c r="U24" s="379">
        <f>(Q24-I24)*100/I24</f>
        <v>83.507233601023131</v>
      </c>
      <c r="V24" s="379">
        <f>(R24-J24)*100/J24</f>
        <v>-42.857142857142854</v>
      </c>
      <c r="W24" s="456">
        <f>(T24-L24)*100/L24</f>
        <v>221.13765880179051</v>
      </c>
    </row>
    <row r="25" spans="1:24" s="316" customFormat="1" ht="21.75" customHeight="1">
      <c r="A25" s="419"/>
      <c r="B25" s="513" t="s">
        <v>119</v>
      </c>
      <c r="C25" s="513"/>
      <c r="D25" s="513"/>
      <c r="E25" s="295"/>
      <c r="F25" s="295"/>
      <c r="G25" s="295"/>
      <c r="H25" s="295"/>
      <c r="I25" s="295"/>
      <c r="J25" s="378"/>
      <c r="K25" s="382"/>
      <c r="L25" s="383"/>
      <c r="M25" s="294"/>
      <c r="N25" s="295"/>
      <c r="O25" s="295"/>
      <c r="P25" s="295"/>
      <c r="Q25" s="295"/>
      <c r="R25" s="384"/>
      <c r="S25" s="382"/>
      <c r="T25" s="295"/>
      <c r="U25" s="379"/>
      <c r="V25" s="379"/>
      <c r="W25" s="456"/>
    </row>
    <row r="26" spans="1:24" s="316" customFormat="1" ht="21.75" customHeight="1">
      <c r="A26" s="419"/>
      <c r="B26" s="578" t="s">
        <v>255</v>
      </c>
      <c r="C26" s="578"/>
      <c r="D26" s="578"/>
      <c r="E26" s="295"/>
      <c r="F26" s="295"/>
      <c r="G26" s="295"/>
      <c r="H26" s="295"/>
      <c r="I26" s="295"/>
      <c r="J26" s="378"/>
      <c r="K26" s="382"/>
      <c r="L26" s="383"/>
      <c r="M26" s="294"/>
      <c r="N26" s="295"/>
      <c r="O26" s="295"/>
      <c r="P26" s="295"/>
      <c r="Q26" s="295"/>
      <c r="R26" s="385"/>
      <c r="S26" s="382"/>
      <c r="T26" s="295"/>
      <c r="U26" s="379"/>
      <c r="V26" s="379"/>
      <c r="W26" s="456"/>
    </row>
    <row r="27" spans="1:24" s="311" customFormat="1" ht="21.75" customHeight="1">
      <c r="A27" s="381" t="s">
        <v>129</v>
      </c>
      <c r="B27" s="579" t="s">
        <v>122</v>
      </c>
      <c r="C27" s="579"/>
      <c r="D27" s="579"/>
      <c r="E27" s="297">
        <v>34618077.723935388</v>
      </c>
      <c r="F27" s="297">
        <v>4538.5973891719668</v>
      </c>
      <c r="G27" s="297">
        <v>83560.291716519088</v>
      </c>
      <c r="H27" s="297">
        <v>10300.08077414429</v>
      </c>
      <c r="I27" s="297">
        <v>34716476.693815216</v>
      </c>
      <c r="J27" s="375">
        <v>3</v>
      </c>
      <c r="K27" s="376" t="s">
        <v>8</v>
      </c>
      <c r="L27" s="377">
        <f>I27/J27</f>
        <v>11572158.897938406</v>
      </c>
      <c r="M27" s="296">
        <v>32904460.078606736</v>
      </c>
      <c r="N27" s="297">
        <v>392.08988764044943</v>
      </c>
      <c r="O27" s="297">
        <v>95847.71460674156</v>
      </c>
      <c r="P27" s="297">
        <v>0</v>
      </c>
      <c r="Q27" s="295">
        <f>SUM(M27:P27)</f>
        <v>33000699.883101121</v>
      </c>
      <c r="R27" s="298">
        <v>3</v>
      </c>
      <c r="S27" s="376" t="s">
        <v>8</v>
      </c>
      <c r="T27" s="297">
        <f>Q27/R27</f>
        <v>11000233.29436704</v>
      </c>
      <c r="U27" s="379">
        <f>(Q27-I27)*100/I27</f>
        <v>-4.9422550158143315</v>
      </c>
      <c r="V27" s="379">
        <f>(R27-J27)*100/J27</f>
        <v>0</v>
      </c>
      <c r="W27" s="456">
        <f>(T27-L27)*100/L27</f>
        <v>-4.9422550158143412</v>
      </c>
    </row>
    <row r="28" spans="1:24" s="311" customFormat="1" ht="21.75" customHeight="1">
      <c r="A28" s="380"/>
      <c r="B28" s="576" t="s">
        <v>123</v>
      </c>
      <c r="C28" s="576"/>
      <c r="D28" s="576"/>
      <c r="E28" s="297"/>
      <c r="F28" s="297"/>
      <c r="G28" s="297"/>
      <c r="H28" s="297"/>
      <c r="I28" s="297"/>
      <c r="J28" s="375"/>
      <c r="K28" s="376"/>
      <c r="L28" s="377"/>
      <c r="M28" s="294"/>
      <c r="N28" s="295"/>
      <c r="O28" s="295"/>
      <c r="P28" s="295"/>
      <c r="Q28" s="295"/>
      <c r="R28" s="385"/>
      <c r="S28" s="376"/>
      <c r="T28" s="297"/>
      <c r="U28" s="379"/>
      <c r="V28" s="379"/>
      <c r="W28" s="456"/>
    </row>
    <row r="29" spans="1:24" s="316" customFormat="1" ht="21.75" customHeight="1">
      <c r="A29" s="381" t="s">
        <v>121</v>
      </c>
      <c r="B29" s="578" t="s">
        <v>399</v>
      </c>
      <c r="C29" s="578"/>
      <c r="D29" s="578"/>
      <c r="E29" s="295">
        <v>2580101.5274509336</v>
      </c>
      <c r="F29" s="295">
        <v>465158.99824448937</v>
      </c>
      <c r="G29" s="295">
        <v>245729.63668233942</v>
      </c>
      <c r="H29" s="295">
        <v>709160.56129983428</v>
      </c>
      <c r="I29" s="295">
        <v>4000150.723677597</v>
      </c>
      <c r="J29" s="378">
        <v>19</v>
      </c>
      <c r="K29" s="382" t="s">
        <v>8</v>
      </c>
      <c r="L29" s="383">
        <f>I29/J29</f>
        <v>210534.24861461038</v>
      </c>
      <c r="M29" s="294">
        <v>3387843.9578563748</v>
      </c>
      <c r="N29" s="295">
        <v>529835.43065461505</v>
      </c>
      <c r="O29" s="295">
        <v>362953.60272594052</v>
      </c>
      <c r="P29" s="295">
        <v>843487.87195652002</v>
      </c>
      <c r="Q29" s="295">
        <v>5124120.8631934505</v>
      </c>
      <c r="R29" s="384">
        <v>12</v>
      </c>
      <c r="S29" s="382" t="s">
        <v>8</v>
      </c>
      <c r="T29" s="295">
        <f>Q29/R29</f>
        <v>427010.07193278754</v>
      </c>
      <c r="U29" s="379">
        <f>(Q29-I29)*100/I29</f>
        <v>28.098194722085751</v>
      </c>
      <c r="V29" s="379">
        <f>(R29-J29)*100/J29</f>
        <v>-36.842105263157897</v>
      </c>
      <c r="W29" s="456">
        <f>(T29-L29)*100/L29</f>
        <v>102.82214164330243</v>
      </c>
    </row>
    <row r="30" spans="1:24" s="345" customFormat="1" ht="21.75" customHeight="1">
      <c r="A30" s="419"/>
      <c r="B30" s="578" t="s">
        <v>400</v>
      </c>
      <c r="C30" s="578"/>
      <c r="D30" s="578"/>
      <c r="E30" s="295">
        <v>1290050.7637254668</v>
      </c>
      <c r="F30" s="295">
        <v>232579.49912224468</v>
      </c>
      <c r="G30" s="295">
        <v>122864.81834116971</v>
      </c>
      <c r="H30" s="295">
        <v>354580.28064991714</v>
      </c>
      <c r="I30" s="295">
        <v>2000075.3618387985</v>
      </c>
      <c r="J30" s="378">
        <v>53</v>
      </c>
      <c r="K30" s="382" t="s">
        <v>8</v>
      </c>
      <c r="L30" s="383">
        <f>I30/J30</f>
        <v>37737.270978090535</v>
      </c>
      <c r="M30" s="294">
        <v>3387843.9578563701</v>
      </c>
      <c r="N30" s="295">
        <v>529835.43065461505</v>
      </c>
      <c r="O30" s="295">
        <v>362953.60272594052</v>
      </c>
      <c r="P30" s="295">
        <v>843487.87195652002</v>
      </c>
      <c r="Q30" s="295">
        <v>5124120.8631934505</v>
      </c>
      <c r="R30" s="385">
        <v>75</v>
      </c>
      <c r="S30" s="382" t="s">
        <v>8</v>
      </c>
      <c r="T30" s="295">
        <f>Q30/R30</f>
        <v>68321.61150924601</v>
      </c>
      <c r="U30" s="379">
        <f>(Q30-I327)*100/I30</f>
        <v>256.19638944417153</v>
      </c>
      <c r="V30" s="379">
        <f>(R30-J30)*100/J30</f>
        <v>41.509433962264154</v>
      </c>
      <c r="W30" s="456">
        <f>(T30-L30)*100/L30</f>
        <v>81.045448540547881</v>
      </c>
      <c r="X30" s="316"/>
    </row>
    <row r="31" spans="1:24" s="345" customFormat="1" ht="21.75" customHeight="1">
      <c r="A31" s="419"/>
      <c r="B31" s="578" t="s">
        <v>401</v>
      </c>
      <c r="C31" s="578"/>
      <c r="D31" s="578"/>
      <c r="E31" s="295">
        <v>2580101.5274509336</v>
      </c>
      <c r="F31" s="295">
        <v>465158.99824448937</v>
      </c>
      <c r="G31" s="295">
        <v>245729.63668233942</v>
      </c>
      <c r="H31" s="295">
        <v>709160.56129983428</v>
      </c>
      <c r="I31" s="295">
        <v>4000150.723677597</v>
      </c>
      <c r="J31" s="378">
        <v>4</v>
      </c>
      <c r="K31" s="382" t="s">
        <v>8</v>
      </c>
      <c r="L31" s="383">
        <f>I31/J31</f>
        <v>1000037.6809193993</v>
      </c>
      <c r="M31" s="294"/>
      <c r="N31" s="295"/>
      <c r="O31" s="295"/>
      <c r="P31" s="295"/>
      <c r="Q31" s="295"/>
      <c r="R31" s="385"/>
      <c r="S31" s="382"/>
      <c r="T31" s="295"/>
      <c r="U31" s="379"/>
      <c r="V31" s="379"/>
      <c r="W31" s="456"/>
      <c r="X31" s="316"/>
    </row>
    <row r="32" spans="1:24" s="316" customFormat="1" ht="21.75" customHeight="1">
      <c r="A32" s="381" t="s">
        <v>125</v>
      </c>
      <c r="B32" s="578" t="s">
        <v>107</v>
      </c>
      <c r="C32" s="578"/>
      <c r="D32" s="578"/>
      <c r="E32" s="295">
        <v>15454568.387178406</v>
      </c>
      <c r="F32" s="295">
        <v>5559587.7487564059</v>
      </c>
      <c r="G32" s="295">
        <v>1136165.0862842444</v>
      </c>
      <c r="H32" s="295">
        <v>3644297.3289019284</v>
      </c>
      <c r="I32" s="295">
        <v>25794618.551120985</v>
      </c>
      <c r="J32" s="378">
        <v>3</v>
      </c>
      <c r="K32" s="382" t="s">
        <v>8</v>
      </c>
      <c r="L32" s="383">
        <f>I32/J32</f>
        <v>8598206.1837069951</v>
      </c>
      <c r="M32" s="294">
        <v>16755668.460072197</v>
      </c>
      <c r="N32" s="295">
        <v>3938711.2036021901</v>
      </c>
      <c r="O32" s="295">
        <v>1152905.1758799783</v>
      </c>
      <c r="P32" s="295">
        <v>3285163.2907780292</v>
      </c>
      <c r="Q32" s="295">
        <f>SUM(M32:P32)</f>
        <v>25132448.130332395</v>
      </c>
      <c r="R32" s="384">
        <v>3</v>
      </c>
      <c r="S32" s="382" t="s">
        <v>8</v>
      </c>
      <c r="T32" s="295">
        <f>Q32/R32</f>
        <v>8377482.7101107985</v>
      </c>
      <c r="U32" s="379">
        <f>(Q32-I32)*100/I32</f>
        <v>-2.5670874701103621</v>
      </c>
      <c r="V32" s="379">
        <f>(R32-J32)*100/J32</f>
        <v>0</v>
      </c>
      <c r="W32" s="456">
        <f>(T32-L32)*100/L32</f>
        <v>-2.5670874701103621</v>
      </c>
    </row>
    <row r="33" spans="1:23" s="316" customFormat="1" ht="21.75" customHeight="1">
      <c r="A33" s="419"/>
      <c r="B33" s="578" t="s">
        <v>173</v>
      </c>
      <c r="C33" s="578"/>
      <c r="D33" s="580"/>
      <c r="E33" s="295"/>
      <c r="F33" s="295"/>
      <c r="G33" s="295"/>
      <c r="H33" s="295"/>
      <c r="I33" s="295"/>
      <c r="J33" s="378"/>
      <c r="K33" s="382"/>
      <c r="L33" s="383"/>
      <c r="M33" s="294"/>
      <c r="N33" s="295"/>
      <c r="O33" s="295"/>
      <c r="P33" s="295"/>
      <c r="Q33" s="295"/>
      <c r="R33" s="385"/>
      <c r="S33" s="382"/>
      <c r="T33" s="295"/>
      <c r="U33" s="379"/>
      <c r="V33" s="379"/>
      <c r="W33" s="456"/>
    </row>
    <row r="34" spans="1:23" s="316" customFormat="1" ht="21.75" customHeight="1">
      <c r="A34" s="424">
        <v>11</v>
      </c>
      <c r="B34" s="578" t="s">
        <v>124</v>
      </c>
      <c r="C34" s="578"/>
      <c r="D34" s="580"/>
      <c r="E34" s="295">
        <v>3827861.4400000004</v>
      </c>
      <c r="F34" s="295">
        <v>0</v>
      </c>
      <c r="G34" s="295">
        <v>0</v>
      </c>
      <c r="H34" s="295">
        <v>0</v>
      </c>
      <c r="I34" s="295">
        <v>3827861.4400000004</v>
      </c>
      <c r="J34" s="378">
        <v>3</v>
      </c>
      <c r="K34" s="382" t="s">
        <v>8</v>
      </c>
      <c r="L34" s="383">
        <f>I34/J34</f>
        <v>1275953.8133333335</v>
      </c>
      <c r="M34" s="294">
        <v>1347640.35</v>
      </c>
      <c r="N34" s="295">
        <v>973624.04</v>
      </c>
      <c r="O34" s="295">
        <v>0</v>
      </c>
      <c r="P34" s="295">
        <v>0</v>
      </c>
      <c r="Q34" s="295">
        <f>SUM(M34:P34)</f>
        <v>2321264.39</v>
      </c>
      <c r="R34" s="384">
        <v>2</v>
      </c>
      <c r="S34" s="382" t="s">
        <v>8</v>
      </c>
      <c r="T34" s="295">
        <f>Q34/R34</f>
        <v>1160632.1950000001</v>
      </c>
      <c r="U34" s="379">
        <f>(Q34-I34)*100/I34</f>
        <v>-39.358714353046182</v>
      </c>
      <c r="V34" s="379">
        <f>(R34-J34)*100/J34</f>
        <v>-33.333333333333336</v>
      </c>
      <c r="W34" s="456">
        <f>(T34-L34)*100/L34</f>
        <v>-9.0380715295692671</v>
      </c>
    </row>
    <row r="35" spans="1:23" s="311" customFormat="1" ht="21.75" customHeight="1">
      <c r="A35" s="425"/>
      <c r="B35" s="387" t="s">
        <v>75</v>
      </c>
      <c r="C35" s="387"/>
      <c r="D35" s="387"/>
      <c r="E35" s="297"/>
      <c r="F35" s="297"/>
      <c r="G35" s="297"/>
      <c r="H35" s="297"/>
      <c r="I35" s="297"/>
      <c r="J35" s="375"/>
      <c r="K35" s="376"/>
      <c r="L35" s="377"/>
      <c r="M35" s="294"/>
      <c r="N35" s="295"/>
      <c r="O35" s="295"/>
      <c r="P35" s="295"/>
      <c r="Q35" s="295"/>
      <c r="R35" s="385"/>
      <c r="S35" s="376"/>
      <c r="T35" s="297"/>
      <c r="U35" s="379"/>
      <c r="V35" s="379"/>
      <c r="W35" s="456"/>
    </row>
    <row r="36" spans="1:23" s="311" customFormat="1" ht="21.75" customHeight="1">
      <c r="A36" s="426" t="s">
        <v>135</v>
      </c>
      <c r="B36" s="576" t="s">
        <v>196</v>
      </c>
      <c r="C36" s="576"/>
      <c r="D36" s="576"/>
      <c r="E36" s="297">
        <v>2426996.8878780883</v>
      </c>
      <c r="F36" s="297">
        <v>645055.52824240411</v>
      </c>
      <c r="G36" s="297">
        <v>290397.13356570917</v>
      </c>
      <c r="H36" s="297">
        <v>895496.11694749503</v>
      </c>
      <c r="I36" s="297">
        <v>4257945.6666336963</v>
      </c>
      <c r="J36" s="375">
        <v>7405</v>
      </c>
      <c r="K36" s="376" t="s">
        <v>10</v>
      </c>
      <c r="L36" s="377">
        <f t="shared" ref="L36:L45" si="2">I36/J36</f>
        <v>575.0095430970556</v>
      </c>
      <c r="M36" s="294">
        <v>2563733.6491017737</v>
      </c>
      <c r="N36" s="295">
        <v>671174.01561760111</v>
      </c>
      <c r="O36" s="295">
        <v>321655.30787722091</v>
      </c>
      <c r="P36" s="295">
        <v>941598.82969462289</v>
      </c>
      <c r="Q36" s="295">
        <f t="shared" ref="Q36:Q45" si="3">SUM(M36:P36)</f>
        <v>4498161.8022912191</v>
      </c>
      <c r="R36" s="299">
        <v>8458</v>
      </c>
      <c r="S36" s="382" t="s">
        <v>10</v>
      </c>
      <c r="T36" s="297">
        <f t="shared" ref="T36:T41" si="4">Q36/R36</f>
        <v>531.82333912168588</v>
      </c>
      <c r="U36" s="379">
        <f t="shared" ref="U36:U45" si="5">(Q36-I36)*100/I36</f>
        <v>5.6415970156668562</v>
      </c>
      <c r="V36" s="379">
        <f t="shared" ref="V36:V45" si="6">(R36-J36)*100/J36</f>
        <v>14.220121539500338</v>
      </c>
      <c r="W36" s="456">
        <f>(T36-L36)*100/L36</f>
        <v>-7.5105195198613144</v>
      </c>
    </row>
    <row r="37" spans="1:23" s="311" customFormat="1" ht="21.75" customHeight="1">
      <c r="A37" s="426" t="s">
        <v>286</v>
      </c>
      <c r="B37" s="576" t="s">
        <v>279</v>
      </c>
      <c r="C37" s="576"/>
      <c r="D37" s="576"/>
      <c r="E37" s="297">
        <v>808998.9626260295</v>
      </c>
      <c r="F37" s="297">
        <v>215018.50941413478</v>
      </c>
      <c r="G37" s="297">
        <v>96799.044521903066</v>
      </c>
      <c r="H37" s="297">
        <v>298498.70564916503</v>
      </c>
      <c r="I37" s="297">
        <v>1419315.2222112324</v>
      </c>
      <c r="J37" s="375">
        <v>2247180500</v>
      </c>
      <c r="K37" s="376" t="s">
        <v>282</v>
      </c>
      <c r="L37" s="388">
        <f t="shared" si="2"/>
        <v>6.3159822818471074E-4</v>
      </c>
      <c r="M37" s="294">
        <v>854577.88303392474</v>
      </c>
      <c r="N37" s="295">
        <v>223724.67187253371</v>
      </c>
      <c r="O37" s="295">
        <v>107218.43595907364</v>
      </c>
      <c r="P37" s="295">
        <v>313866.27656487422</v>
      </c>
      <c r="Q37" s="295">
        <f t="shared" si="3"/>
        <v>1499387.2674304063</v>
      </c>
      <c r="R37" s="300">
        <v>2150030000</v>
      </c>
      <c r="S37" s="389" t="s">
        <v>282</v>
      </c>
      <c r="T37" s="390">
        <f t="shared" si="4"/>
        <v>6.9737969583234013E-4</v>
      </c>
      <c r="U37" s="379">
        <f t="shared" si="5"/>
        <v>5.6415970156668278</v>
      </c>
      <c r="V37" s="379">
        <f t="shared" si="6"/>
        <v>-4.3232174718497243</v>
      </c>
      <c r="W37" s="456">
        <f>(T37-L37)*100/L37</f>
        <v>10.415081093038092</v>
      </c>
    </row>
    <row r="38" spans="1:23" s="311" customFormat="1" ht="21.75" customHeight="1">
      <c r="A38" s="426" t="s">
        <v>136</v>
      </c>
      <c r="B38" s="576" t="s">
        <v>185</v>
      </c>
      <c r="C38" s="576"/>
      <c r="D38" s="576"/>
      <c r="E38" s="297">
        <v>6691772.7911090618</v>
      </c>
      <c r="F38" s="297">
        <v>2147766.8928443864</v>
      </c>
      <c r="G38" s="297">
        <v>781038.49979274708</v>
      </c>
      <c r="H38" s="297">
        <v>2626788.6097126524</v>
      </c>
      <c r="I38" s="297">
        <v>12247366.793458849</v>
      </c>
      <c r="J38" s="375">
        <v>222</v>
      </c>
      <c r="K38" s="391" t="s">
        <v>65</v>
      </c>
      <c r="L38" s="377">
        <f t="shared" si="2"/>
        <v>55168.318889454276</v>
      </c>
      <c r="M38" s="296">
        <v>6584410.520110582</v>
      </c>
      <c r="N38" s="297">
        <v>1994863.0112693666</v>
      </c>
      <c r="O38" s="297">
        <v>766346.57035728812</v>
      </c>
      <c r="P38" s="297">
        <v>2080485.033230023</v>
      </c>
      <c r="Q38" s="295">
        <f t="shared" si="3"/>
        <v>11426105.13496726</v>
      </c>
      <c r="R38" s="299">
        <v>234</v>
      </c>
      <c r="S38" s="376" t="s">
        <v>347</v>
      </c>
      <c r="T38" s="297">
        <f t="shared" si="4"/>
        <v>48829.509123791708</v>
      </c>
      <c r="U38" s="379">
        <f t="shared" si="5"/>
        <v>-6.7056182144411132</v>
      </c>
      <c r="V38" s="379">
        <f t="shared" si="6"/>
        <v>5.4054054054054053</v>
      </c>
      <c r="W38" s="456">
        <f>(T38-L38)*100/L38</f>
        <v>-11.48994548549542</v>
      </c>
    </row>
    <row r="39" spans="1:23" s="311" customFormat="1" ht="21.75" customHeight="1">
      <c r="A39" s="426" t="s">
        <v>151</v>
      </c>
      <c r="B39" s="576" t="s">
        <v>184</v>
      </c>
      <c r="C39" s="576"/>
      <c r="D39" s="576"/>
      <c r="E39" s="297">
        <v>836471.59888863272</v>
      </c>
      <c r="F39" s="297">
        <v>268470.8616055483</v>
      </c>
      <c r="G39" s="297">
        <v>97629.812474093385</v>
      </c>
      <c r="H39" s="297">
        <v>328348.57621408155</v>
      </c>
      <c r="I39" s="297">
        <v>1530920.8491823561</v>
      </c>
      <c r="J39" s="375">
        <v>114753</v>
      </c>
      <c r="K39" s="376" t="s">
        <v>174</v>
      </c>
      <c r="L39" s="377">
        <f t="shared" si="2"/>
        <v>13.341009378250295</v>
      </c>
      <c r="M39" s="294">
        <v>823051.31501382275</v>
      </c>
      <c r="N39" s="295">
        <v>249357.87640867083</v>
      </c>
      <c r="O39" s="295">
        <v>95793.321294661015</v>
      </c>
      <c r="P39" s="295">
        <v>260060.62915375287</v>
      </c>
      <c r="Q39" s="295">
        <f t="shared" si="3"/>
        <v>1428263.1418709075</v>
      </c>
      <c r="R39" s="299">
        <v>89709</v>
      </c>
      <c r="S39" s="376" t="s">
        <v>174</v>
      </c>
      <c r="T39" s="297">
        <f t="shared" si="4"/>
        <v>15.921068586996929</v>
      </c>
      <c r="U39" s="379">
        <f t="shared" si="5"/>
        <v>-6.7056182144411132</v>
      </c>
      <c r="V39" s="379">
        <f t="shared" si="6"/>
        <v>-21.824266032260596</v>
      </c>
      <c r="W39" s="456">
        <f>(T39-L39)*100/L39+0.01</f>
        <v>19.349310359476082</v>
      </c>
    </row>
    <row r="40" spans="1:23" s="311" customFormat="1" ht="21.75" customHeight="1">
      <c r="A40" s="426" t="s">
        <v>137</v>
      </c>
      <c r="B40" s="576" t="s">
        <v>280</v>
      </c>
      <c r="C40" s="576"/>
      <c r="D40" s="576"/>
      <c r="E40" s="297">
        <v>836471.59888863272</v>
      </c>
      <c r="F40" s="297">
        <v>268470.8616055483</v>
      </c>
      <c r="G40" s="297">
        <v>97629.812474093385</v>
      </c>
      <c r="H40" s="297">
        <v>328348.57621408155</v>
      </c>
      <c r="I40" s="297">
        <v>1530920.8491823561</v>
      </c>
      <c r="J40" s="375">
        <v>2</v>
      </c>
      <c r="K40" s="376" t="s">
        <v>283</v>
      </c>
      <c r="L40" s="377">
        <f t="shared" si="2"/>
        <v>765460.42459117807</v>
      </c>
      <c r="M40" s="296">
        <v>823051.31501382275</v>
      </c>
      <c r="N40" s="297">
        <v>249357.87640867083</v>
      </c>
      <c r="O40" s="297">
        <v>95793.321294661015</v>
      </c>
      <c r="P40" s="297">
        <v>260060.62915375287</v>
      </c>
      <c r="Q40" s="295">
        <f t="shared" si="3"/>
        <v>1428263.1418709075</v>
      </c>
      <c r="R40" s="299">
        <v>2</v>
      </c>
      <c r="S40" s="376" t="s">
        <v>347</v>
      </c>
      <c r="T40" s="297">
        <f t="shared" si="4"/>
        <v>714131.57093545375</v>
      </c>
      <c r="U40" s="379">
        <f t="shared" si="5"/>
        <v>-6.7056182144411132</v>
      </c>
      <c r="V40" s="379">
        <f t="shared" si="6"/>
        <v>0</v>
      </c>
      <c r="W40" s="456">
        <f>(T40-L40)*100/L40+0.01</f>
        <v>-6.6956182144411134</v>
      </c>
    </row>
    <row r="41" spans="1:23" s="311" customFormat="1" ht="21.75" customHeight="1">
      <c r="A41" s="426" t="s">
        <v>138</v>
      </c>
      <c r="B41" s="576" t="s">
        <v>126</v>
      </c>
      <c r="C41" s="576"/>
      <c r="D41" s="576"/>
      <c r="E41" s="297">
        <v>3690320.7464185385</v>
      </c>
      <c r="F41" s="297">
        <v>878338.82776202541</v>
      </c>
      <c r="G41" s="297">
        <v>378897.67236968171</v>
      </c>
      <c r="H41" s="297">
        <v>1267624.5033234544</v>
      </c>
      <c r="I41" s="297">
        <v>6215181.7498736996</v>
      </c>
      <c r="J41" s="375">
        <v>459</v>
      </c>
      <c r="K41" s="376" t="s">
        <v>11</v>
      </c>
      <c r="L41" s="377">
        <f t="shared" si="2"/>
        <v>13540.700980116993</v>
      </c>
      <c r="M41" s="296">
        <v>4315164.6336424816</v>
      </c>
      <c r="N41" s="297">
        <v>1078319.0356646413</v>
      </c>
      <c r="O41" s="297">
        <v>461402.55052810925</v>
      </c>
      <c r="P41" s="297">
        <v>1318238.3615724724</v>
      </c>
      <c r="Q41" s="295">
        <f t="shared" si="3"/>
        <v>7173124.5814077044</v>
      </c>
      <c r="R41" s="299">
        <v>452</v>
      </c>
      <c r="S41" s="376" t="s">
        <v>11</v>
      </c>
      <c r="T41" s="297">
        <f t="shared" si="4"/>
        <v>15869.74464913209</v>
      </c>
      <c r="U41" s="379">
        <f t="shared" si="5"/>
        <v>15.412949614119835</v>
      </c>
      <c r="V41" s="379">
        <f t="shared" si="6"/>
        <v>-1.5250544662309369</v>
      </c>
      <c r="W41" s="456">
        <f>(T41-L41)*100/L41</f>
        <v>17.200318302834077</v>
      </c>
    </row>
    <row r="42" spans="1:23" s="311" customFormat="1" ht="21.75" customHeight="1">
      <c r="A42" s="426" t="s">
        <v>295</v>
      </c>
      <c r="B42" s="576" t="s">
        <v>294</v>
      </c>
      <c r="C42" s="576"/>
      <c r="D42" s="577"/>
      <c r="E42" s="297">
        <v>75312.668294255884</v>
      </c>
      <c r="F42" s="297">
        <v>17925.28219922501</v>
      </c>
      <c r="G42" s="297">
        <v>7732.6055585649319</v>
      </c>
      <c r="H42" s="297">
        <v>25869.887822927638</v>
      </c>
      <c r="I42" s="297">
        <v>126840.44387497345</v>
      </c>
      <c r="J42" s="375">
        <v>1</v>
      </c>
      <c r="K42" s="376" t="s">
        <v>284</v>
      </c>
      <c r="L42" s="377">
        <f t="shared" si="2"/>
        <v>126840.44387497345</v>
      </c>
      <c r="M42" s="294">
        <v>88064.584360050663</v>
      </c>
      <c r="N42" s="295">
        <v>22006.510931931458</v>
      </c>
      <c r="O42" s="295">
        <v>9416.378582206311</v>
      </c>
      <c r="P42" s="295">
        <v>26902.823705560659</v>
      </c>
      <c r="Q42" s="295">
        <f t="shared" si="3"/>
        <v>146390.29757974908</v>
      </c>
      <c r="R42" s="299">
        <v>0</v>
      </c>
      <c r="S42" s="376" t="s">
        <v>284</v>
      </c>
      <c r="T42" s="297">
        <v>0</v>
      </c>
      <c r="U42" s="295">
        <f t="shared" si="5"/>
        <v>15.412949614119849</v>
      </c>
      <c r="V42" s="295">
        <f t="shared" si="6"/>
        <v>-100</v>
      </c>
      <c r="W42" s="383">
        <f>(T42-L42)*100/L42</f>
        <v>-100</v>
      </c>
    </row>
    <row r="43" spans="1:23" s="311" customFormat="1" ht="21.75" customHeight="1">
      <c r="A43" s="426" t="s">
        <v>296</v>
      </c>
      <c r="B43" s="576" t="s">
        <v>127</v>
      </c>
      <c r="C43" s="576"/>
      <c r="D43" s="577"/>
      <c r="E43" s="297">
        <v>5012695.5136694098</v>
      </c>
      <c r="F43" s="297">
        <v>3588543.3684376925</v>
      </c>
      <c r="G43" s="297">
        <v>269049.27872507484</v>
      </c>
      <c r="H43" s="297">
        <v>795996.54839777306</v>
      </c>
      <c r="I43" s="297">
        <v>9666284.7092299499</v>
      </c>
      <c r="J43" s="375">
        <v>26806</v>
      </c>
      <c r="K43" s="376" t="s">
        <v>264</v>
      </c>
      <c r="L43" s="377">
        <f t="shared" si="2"/>
        <v>360.60153358315114</v>
      </c>
      <c r="M43" s="294">
        <v>4583317.6069346843</v>
      </c>
      <c r="N43" s="295">
        <v>4096070.8528515059</v>
      </c>
      <c r="O43" s="295">
        <v>272491.56219216826</v>
      </c>
      <c r="P43" s="295">
        <v>717408.632148284</v>
      </c>
      <c r="Q43" s="295">
        <f t="shared" si="3"/>
        <v>9669288.6541266423</v>
      </c>
      <c r="R43" s="299">
        <v>28494</v>
      </c>
      <c r="S43" s="376" t="s">
        <v>475</v>
      </c>
      <c r="T43" s="297">
        <f>Q43/R43</f>
        <v>339.34472710488672</v>
      </c>
      <c r="U43" s="295">
        <f t="shared" si="5"/>
        <v>3.1076519956256439E-2</v>
      </c>
      <c r="V43" s="295">
        <f t="shared" si="6"/>
        <v>6.2970976647019326</v>
      </c>
      <c r="W43" s="383">
        <f>(T43-L43)*100/L43</f>
        <v>-5.8948186567716903</v>
      </c>
    </row>
    <row r="44" spans="1:23" s="311" customFormat="1" ht="21.75" customHeight="1">
      <c r="A44" s="426" t="s">
        <v>298</v>
      </c>
      <c r="B44" s="576" t="s">
        <v>263</v>
      </c>
      <c r="C44" s="576"/>
      <c r="D44" s="577"/>
      <c r="E44" s="297">
        <v>4901120.9615475023</v>
      </c>
      <c r="F44" s="297">
        <v>1064299.1891800964</v>
      </c>
      <c r="G44" s="297">
        <v>564478.86729078402</v>
      </c>
      <c r="H44" s="297">
        <v>1691492.6653452688</v>
      </c>
      <c r="I44" s="297">
        <v>8221391.6833636519</v>
      </c>
      <c r="J44" s="375">
        <v>22207</v>
      </c>
      <c r="K44" s="376" t="s">
        <v>180</v>
      </c>
      <c r="L44" s="377">
        <f t="shared" si="2"/>
        <v>370.21622386471165</v>
      </c>
      <c r="M44" s="296">
        <v>4685385.0032035448</v>
      </c>
      <c r="N44" s="297">
        <v>1297278.0812352013</v>
      </c>
      <c r="O44" s="297">
        <v>640251.180754442</v>
      </c>
      <c r="P44" s="297">
        <v>1883197.6593892458</v>
      </c>
      <c r="Q44" s="295">
        <f t="shared" si="3"/>
        <v>8506111.924582433</v>
      </c>
      <c r="R44" s="299">
        <v>37725</v>
      </c>
      <c r="S44" s="376" t="s">
        <v>180</v>
      </c>
      <c r="T44" s="297">
        <f>Q44/R44</f>
        <v>225.47679057872585</v>
      </c>
      <c r="U44" s="379">
        <f t="shared" si="5"/>
        <v>3.4631635638395024</v>
      </c>
      <c r="V44" s="379">
        <f t="shared" si="6"/>
        <v>69.878867023911383</v>
      </c>
      <c r="W44" s="456">
        <f>(T44-L44)*100/L44</f>
        <v>-39.095918535130977</v>
      </c>
    </row>
    <row r="45" spans="1:23" s="311" customFormat="1" ht="21.75" customHeight="1">
      <c r="A45" s="426" t="s">
        <v>299</v>
      </c>
      <c r="B45" s="576" t="s">
        <v>128</v>
      </c>
      <c r="C45" s="576"/>
      <c r="D45" s="577"/>
      <c r="E45" s="297">
        <v>2715752.0498476108</v>
      </c>
      <c r="F45" s="297">
        <v>932302.76592800475</v>
      </c>
      <c r="G45" s="297">
        <v>321298.38570713648</v>
      </c>
      <c r="H45" s="297">
        <v>1119370.1461843692</v>
      </c>
      <c r="I45" s="297">
        <v>5088723.3476671213</v>
      </c>
      <c r="J45" s="375">
        <v>330</v>
      </c>
      <c r="K45" s="376" t="s">
        <v>54</v>
      </c>
      <c r="L45" s="377">
        <f t="shared" si="2"/>
        <v>15420.373780809459</v>
      </c>
      <c r="M45" s="294">
        <v>2800972.7072016466</v>
      </c>
      <c r="N45" s="295">
        <v>888622.13128777209</v>
      </c>
      <c r="O45" s="295">
        <v>309510.08142170508</v>
      </c>
      <c r="P45" s="295">
        <v>874341.77043072088</v>
      </c>
      <c r="Q45" s="295">
        <f t="shared" si="3"/>
        <v>4873446.6903418452</v>
      </c>
      <c r="R45" s="299">
        <v>330</v>
      </c>
      <c r="S45" s="376" t="s">
        <v>284</v>
      </c>
      <c r="T45" s="297">
        <f>Q45/R45</f>
        <v>14768.020273763168</v>
      </c>
      <c r="U45" s="295">
        <f t="shared" si="5"/>
        <v>-4.2304649440997375</v>
      </c>
      <c r="V45" s="295">
        <f t="shared" si="6"/>
        <v>0</v>
      </c>
      <c r="W45" s="383">
        <f>(T45-L45)*100/L45</f>
        <v>-4.2304649440997366</v>
      </c>
    </row>
    <row r="46" spans="1:23" s="313" customFormat="1" ht="21.75" customHeight="1">
      <c r="A46" s="386"/>
      <c r="B46" s="581"/>
      <c r="C46" s="581"/>
      <c r="D46" s="581"/>
      <c r="E46" s="297"/>
      <c r="F46" s="297"/>
      <c r="G46" s="297"/>
      <c r="H46" s="297"/>
      <c r="I46" s="297"/>
      <c r="J46" s="375"/>
      <c r="K46" s="376" t="s">
        <v>55</v>
      </c>
      <c r="L46" s="377"/>
      <c r="M46" s="294"/>
      <c r="N46" s="295"/>
      <c r="O46" s="295"/>
      <c r="P46" s="295"/>
      <c r="Q46" s="295"/>
      <c r="R46" s="378"/>
      <c r="S46" s="376"/>
      <c r="T46" s="297"/>
      <c r="U46" s="379"/>
      <c r="V46" s="379"/>
      <c r="W46" s="456"/>
    </row>
    <row r="47" spans="1:23" s="311" customFormat="1" ht="21.75" customHeight="1">
      <c r="A47" s="426" t="s">
        <v>300</v>
      </c>
      <c r="B47" s="576" t="s">
        <v>281</v>
      </c>
      <c r="C47" s="576"/>
      <c r="D47" s="576"/>
      <c r="E47" s="297">
        <v>905250.68328253692</v>
      </c>
      <c r="F47" s="297">
        <v>310767.58864266833</v>
      </c>
      <c r="G47" s="297">
        <v>107099.46190237883</v>
      </c>
      <c r="H47" s="297">
        <v>373123.38206145639</v>
      </c>
      <c r="I47" s="297">
        <v>1696241.1158890405</v>
      </c>
      <c r="J47" s="375">
        <v>100</v>
      </c>
      <c r="K47" s="376" t="s">
        <v>284</v>
      </c>
      <c r="L47" s="377">
        <f>I47/J47</f>
        <v>16962.411158890405</v>
      </c>
      <c r="M47" s="301">
        <v>933657.56906721555</v>
      </c>
      <c r="N47" s="302">
        <v>296207.37709592405</v>
      </c>
      <c r="O47" s="302">
        <v>103170.02714056836</v>
      </c>
      <c r="P47" s="302">
        <v>291447.25681024027</v>
      </c>
      <c r="Q47" s="295">
        <f>SUM(M47:P47)</f>
        <v>1624482.230113948</v>
      </c>
      <c r="R47" s="299">
        <v>100</v>
      </c>
      <c r="S47" s="376" t="s">
        <v>284</v>
      </c>
      <c r="T47" s="297">
        <f>Q47/R47</f>
        <v>16244.82230113948</v>
      </c>
      <c r="U47" s="379">
        <f t="shared" ref="U47:V49" si="7">(SUM(Q47:Q47)-I47)/I47*100</f>
        <v>-4.230464944099765</v>
      </c>
      <c r="V47" s="379">
        <f t="shared" si="7"/>
        <v>0</v>
      </c>
      <c r="W47" s="456">
        <f>(T47-L47)*100/L47</f>
        <v>-4.2304649440997633</v>
      </c>
    </row>
    <row r="48" spans="1:23" s="311" customFormat="1" ht="21.75" customHeight="1">
      <c r="A48" s="426" t="s">
        <v>301</v>
      </c>
      <c r="B48" s="576" t="s">
        <v>176</v>
      </c>
      <c r="C48" s="576"/>
      <c r="D48" s="576"/>
      <c r="E48" s="297">
        <v>11727272.718901863</v>
      </c>
      <c r="F48" s="297">
        <v>1280434.9164889788</v>
      </c>
      <c r="G48" s="297">
        <v>563824.80936467892</v>
      </c>
      <c r="H48" s="297">
        <v>1418321.1225996797</v>
      </c>
      <c r="I48" s="297">
        <v>14989853.567355201</v>
      </c>
      <c r="J48" s="378">
        <v>578</v>
      </c>
      <c r="K48" s="376" t="s">
        <v>175</v>
      </c>
      <c r="L48" s="377">
        <f>I48/J48</f>
        <v>25934.002711687197</v>
      </c>
      <c r="M48" s="296">
        <v>11190089.466404915</v>
      </c>
      <c r="N48" s="297">
        <v>1413450.890621346</v>
      </c>
      <c r="O48" s="297">
        <v>451443.54032345151</v>
      </c>
      <c r="P48" s="297">
        <v>1207519.4798535393</v>
      </c>
      <c r="Q48" s="295">
        <f>SUM(M48:P48)</f>
        <v>14262503.37720325</v>
      </c>
      <c r="R48" s="378">
        <v>530</v>
      </c>
      <c r="S48" s="376" t="s">
        <v>175</v>
      </c>
      <c r="T48" s="297">
        <f>SUM(Q48:Q48)/SUM(R48:R48)</f>
        <v>26910.383730572172</v>
      </c>
      <c r="U48" s="379">
        <f t="shared" si="7"/>
        <v>-4.8522834921881328</v>
      </c>
      <c r="V48" s="379">
        <f t="shared" si="7"/>
        <v>-8.3044982698961931</v>
      </c>
      <c r="W48" s="456">
        <f>(T48-L48)*100/L48</f>
        <v>3.7648681915382358</v>
      </c>
    </row>
    <row r="49" spans="1:26" s="311" customFormat="1" ht="21.75" customHeight="1">
      <c r="A49" s="426" t="s">
        <v>302</v>
      </c>
      <c r="B49" s="576" t="s">
        <v>177</v>
      </c>
      <c r="C49" s="576"/>
      <c r="D49" s="576"/>
      <c r="E49" s="295">
        <v>4838608.1797254663</v>
      </c>
      <c r="F49" s="295">
        <v>320108.72912224469</v>
      </c>
      <c r="G49" s="295">
        <v>140956.20234116973</v>
      </c>
      <c r="H49" s="295">
        <v>354580.28064991994</v>
      </c>
      <c r="I49" s="295">
        <v>5654253.3918388011</v>
      </c>
      <c r="J49" s="378">
        <v>1</v>
      </c>
      <c r="K49" s="382" t="s">
        <v>178</v>
      </c>
      <c r="L49" s="383">
        <f>I49/J49</f>
        <v>5654253.3918388011</v>
      </c>
      <c r="M49" s="296">
        <v>4483640.3666012287</v>
      </c>
      <c r="N49" s="297">
        <v>353362.72265533649</v>
      </c>
      <c r="O49" s="297">
        <v>112860.88508086288</v>
      </c>
      <c r="P49" s="297">
        <v>301879.86996338482</v>
      </c>
      <c r="Q49" s="295">
        <f>SUM(M49:P49)</f>
        <v>5251743.844300813</v>
      </c>
      <c r="R49" s="378">
        <v>2</v>
      </c>
      <c r="S49" s="376" t="s">
        <v>178</v>
      </c>
      <c r="T49" s="297">
        <f>SUM(Q49:Q49)/SUM(R49:R49)</f>
        <v>2625871.9221504065</v>
      </c>
      <c r="U49" s="379">
        <f t="shared" si="7"/>
        <v>-7.1187037375961895</v>
      </c>
      <c r="V49" s="379">
        <f t="shared" si="7"/>
        <v>100</v>
      </c>
      <c r="W49" s="456">
        <f>(T49-L49)*100/L49</f>
        <v>-53.559351868798096</v>
      </c>
    </row>
    <row r="50" spans="1:26" s="313" customFormat="1" ht="21.75" customHeight="1">
      <c r="A50" s="426" t="s">
        <v>303</v>
      </c>
      <c r="B50" s="576" t="s">
        <v>130</v>
      </c>
      <c r="C50" s="576"/>
      <c r="D50" s="576"/>
      <c r="E50" s="297">
        <v>1541643.5395881999</v>
      </c>
      <c r="F50" s="297">
        <v>422969.37468336697</v>
      </c>
      <c r="G50" s="297">
        <v>218073.96351175461</v>
      </c>
      <c r="H50" s="297">
        <v>531870.42097487557</v>
      </c>
      <c r="I50" s="297">
        <v>2714557.2987581976</v>
      </c>
      <c r="J50" s="375">
        <v>1</v>
      </c>
      <c r="K50" s="376" t="s">
        <v>179</v>
      </c>
      <c r="L50" s="377">
        <f>I50/J50</f>
        <v>2714557.2987581976</v>
      </c>
      <c r="M50" s="296">
        <v>1361590.1756838716</v>
      </c>
      <c r="N50" s="297">
        <v>388756.04586835665</v>
      </c>
      <c r="O50" s="297">
        <v>191241.10509988957</v>
      </c>
      <c r="P50" s="297">
        <v>372910.42760183074</v>
      </c>
      <c r="Q50" s="295">
        <f>SUM(M50:P50)</f>
        <v>2314497.7542539486</v>
      </c>
      <c r="R50" s="378">
        <v>1</v>
      </c>
      <c r="S50" s="376" t="s">
        <v>179</v>
      </c>
      <c r="T50" s="297">
        <f>Q50/R50</f>
        <v>2314497.7542539486</v>
      </c>
      <c r="U50" s="379">
        <f>(Q50-I50)*100/I50</f>
        <v>-14.737561247547083</v>
      </c>
      <c r="V50" s="379">
        <f>(R50-J50)*100/J50</f>
        <v>0</v>
      </c>
      <c r="W50" s="456">
        <f>(T50-L50)*100/L50</f>
        <v>-14.737561247547083</v>
      </c>
      <c r="X50" s="311"/>
      <c r="Y50" s="311"/>
      <c r="Z50" s="311"/>
    </row>
    <row r="51" spans="1:26" s="313" customFormat="1" ht="21.75" customHeight="1">
      <c r="A51" s="427"/>
      <c r="B51" s="576" t="s">
        <v>182</v>
      </c>
      <c r="C51" s="576"/>
      <c r="D51" s="576"/>
      <c r="E51" s="297"/>
      <c r="F51" s="297"/>
      <c r="G51" s="297"/>
      <c r="H51" s="297"/>
      <c r="I51" s="297"/>
      <c r="J51" s="375"/>
      <c r="K51" s="376"/>
      <c r="L51" s="377"/>
      <c r="M51" s="294"/>
      <c r="N51" s="295"/>
      <c r="O51" s="295"/>
      <c r="P51" s="295"/>
      <c r="Q51" s="295"/>
      <c r="R51" s="378"/>
      <c r="S51" s="376"/>
      <c r="T51" s="297"/>
      <c r="U51" s="379"/>
      <c r="V51" s="379"/>
      <c r="W51" s="456"/>
    </row>
    <row r="52" spans="1:26" s="311" customFormat="1" ht="13.5" customHeight="1">
      <c r="A52" s="393"/>
      <c r="B52" s="576"/>
      <c r="C52" s="576"/>
      <c r="D52" s="576"/>
      <c r="E52" s="297"/>
      <c r="F52" s="297"/>
      <c r="G52" s="297"/>
      <c r="H52" s="297"/>
      <c r="I52" s="297"/>
      <c r="J52" s="375"/>
      <c r="K52" s="376"/>
      <c r="L52" s="377"/>
      <c r="M52" s="294"/>
      <c r="N52" s="295"/>
      <c r="O52" s="295"/>
      <c r="P52" s="295"/>
      <c r="Q52" s="295"/>
      <c r="R52" s="378"/>
      <c r="S52" s="376"/>
      <c r="T52" s="297"/>
      <c r="U52" s="379"/>
      <c r="V52" s="379"/>
      <c r="W52" s="456"/>
    </row>
    <row r="53" spans="1:26" s="313" customFormat="1" ht="21.75" customHeight="1">
      <c r="A53" s="426" t="s">
        <v>304</v>
      </c>
      <c r="B53" s="576" t="s">
        <v>197</v>
      </c>
      <c r="C53" s="576"/>
      <c r="D53" s="576"/>
      <c r="E53" s="297">
        <v>1213942.3597254667</v>
      </c>
      <c r="F53" s="297">
        <v>281979.58312224469</v>
      </c>
      <c r="G53" s="297">
        <v>145382.64234116973</v>
      </c>
      <c r="H53" s="297">
        <v>354580.28064991714</v>
      </c>
      <c r="I53" s="297">
        <v>1995884.8658387985</v>
      </c>
      <c r="J53" s="375">
        <v>1</v>
      </c>
      <c r="K53" s="376" t="s">
        <v>179</v>
      </c>
      <c r="L53" s="377">
        <f>I53/J53</f>
        <v>1995884.8658387985</v>
      </c>
      <c r="M53" s="296">
        <v>1078926.7837892477</v>
      </c>
      <c r="N53" s="297">
        <v>259170.69724557109</v>
      </c>
      <c r="O53" s="297">
        <v>127494.07006659303</v>
      </c>
      <c r="P53" s="297">
        <v>248606.95173455385</v>
      </c>
      <c r="Q53" s="295">
        <f>SUM(M53:P53)</f>
        <v>1714198.5028359657</v>
      </c>
      <c r="R53" s="378">
        <v>1</v>
      </c>
      <c r="S53" s="376" t="s">
        <v>179</v>
      </c>
      <c r="T53" s="297">
        <f>Q53/R53</f>
        <v>1714198.5028359657</v>
      </c>
      <c r="U53" s="379">
        <f>(Q53-I53)*100/I53</f>
        <v>-14.113357329579737</v>
      </c>
      <c r="V53" s="379">
        <f>(R53-J53)*100/J53</f>
        <v>0</v>
      </c>
      <c r="W53" s="456">
        <f>(T53-L53)*100/L53</f>
        <v>-14.113357329579737</v>
      </c>
      <c r="X53" s="311"/>
      <c r="Y53" s="311"/>
      <c r="Z53" s="311"/>
    </row>
    <row r="54" spans="1:26" s="313" customFormat="1" ht="21.75" customHeight="1">
      <c r="A54" s="427"/>
      <c r="B54" s="576" t="s">
        <v>181</v>
      </c>
      <c r="C54" s="576"/>
      <c r="D54" s="576"/>
      <c r="E54" s="297"/>
      <c r="F54" s="297"/>
      <c r="G54" s="297"/>
      <c r="H54" s="297"/>
      <c r="I54" s="297"/>
      <c r="J54" s="375"/>
      <c r="K54" s="376"/>
      <c r="L54" s="377"/>
      <c r="M54" s="294"/>
      <c r="N54" s="295"/>
      <c r="O54" s="295"/>
      <c r="P54" s="295"/>
      <c r="Q54" s="295"/>
      <c r="R54" s="385"/>
      <c r="S54" s="376"/>
      <c r="T54" s="297"/>
      <c r="U54" s="379"/>
      <c r="V54" s="379"/>
      <c r="W54" s="456"/>
    </row>
    <row r="55" spans="1:26" s="311" customFormat="1" ht="21.75" customHeight="1">
      <c r="A55" s="393"/>
      <c r="B55" s="576" t="s">
        <v>183</v>
      </c>
      <c r="C55" s="576"/>
      <c r="D55" s="576"/>
      <c r="E55" s="297"/>
      <c r="F55" s="297"/>
      <c r="G55" s="297"/>
      <c r="H55" s="297"/>
      <c r="I55" s="297"/>
      <c r="J55" s="375"/>
      <c r="K55" s="376"/>
      <c r="L55" s="377"/>
      <c r="M55" s="294"/>
      <c r="N55" s="295"/>
      <c r="O55" s="295"/>
      <c r="P55" s="295"/>
      <c r="Q55" s="295"/>
      <c r="R55" s="385"/>
      <c r="S55" s="376"/>
      <c r="T55" s="297"/>
      <c r="U55" s="379"/>
      <c r="V55" s="379"/>
      <c r="W55" s="456"/>
    </row>
    <row r="56" spans="1:26" s="311" customFormat="1" ht="21.75" customHeight="1">
      <c r="A56" s="426" t="s">
        <v>305</v>
      </c>
      <c r="B56" s="576" t="s">
        <v>314</v>
      </c>
      <c r="C56" s="576"/>
      <c r="D56" s="576"/>
      <c r="E56" s="297">
        <v>1132590.4796949632</v>
      </c>
      <c r="F56" s="297">
        <v>134219.46013582769</v>
      </c>
      <c r="G56" s="297">
        <v>131434.49149018858</v>
      </c>
      <c r="H56" s="297">
        <v>393978.08961101872</v>
      </c>
      <c r="I56" s="297">
        <v>1792222.5209319983</v>
      </c>
      <c r="J56" s="375">
        <v>595</v>
      </c>
      <c r="K56" s="376" t="s">
        <v>265</v>
      </c>
      <c r="L56" s="377">
        <f>I56/J56</f>
        <v>3012.1386906420139</v>
      </c>
      <c r="M56" s="296">
        <v>1277030.2354132109</v>
      </c>
      <c r="N56" s="297">
        <v>93873.836065101699</v>
      </c>
      <c r="O56" s="297">
        <v>146692.6000951328</v>
      </c>
      <c r="P56" s="297">
        <v>355152.7881922198</v>
      </c>
      <c r="Q56" s="295">
        <f>SUM(M56:P56)</f>
        <v>1872749.4597656652</v>
      </c>
      <c r="R56" s="378">
        <v>632</v>
      </c>
      <c r="S56" s="376" t="s">
        <v>472</v>
      </c>
      <c r="T56" s="297">
        <f>Q56/R56</f>
        <v>2963.2111705152929</v>
      </c>
      <c r="U56" s="379">
        <f>(Q56-I56)*100/I56</f>
        <v>4.4931328500319836</v>
      </c>
      <c r="V56" s="379">
        <f>(R56-J56)*100/J56</f>
        <v>6.2184873949579833</v>
      </c>
      <c r="W56" s="456">
        <f>(T56-L56)*100/L56</f>
        <v>-1.6243448642895149</v>
      </c>
    </row>
    <row r="57" spans="1:26" s="311" customFormat="1" ht="21.75" customHeight="1">
      <c r="A57" s="393" t="s">
        <v>306</v>
      </c>
      <c r="B57" s="576" t="s">
        <v>131</v>
      </c>
      <c r="C57" s="576"/>
      <c r="D57" s="576"/>
      <c r="E57" s="297">
        <v>1650163.4695043147</v>
      </c>
      <c r="F57" s="297">
        <v>514344.95897071995</v>
      </c>
      <c r="G57" s="297">
        <v>210703.79867155643</v>
      </c>
      <c r="H57" s="297">
        <v>640214.39561790624</v>
      </c>
      <c r="I57" s="297">
        <v>3015426.6227644971</v>
      </c>
      <c r="J57" s="375">
        <v>3</v>
      </c>
      <c r="K57" s="376" t="s">
        <v>8</v>
      </c>
      <c r="L57" s="377">
        <f>I57/J57</f>
        <v>1005142.2075881656</v>
      </c>
      <c r="M57" s="301">
        <v>1469227.401766513</v>
      </c>
      <c r="N57" s="302">
        <v>509050.00008137716</v>
      </c>
      <c r="O57" s="302">
        <v>167152.12511891604</v>
      </c>
      <c r="P57" s="302">
        <v>443940.98524027434</v>
      </c>
      <c r="Q57" s="295">
        <f>SUM(M57:P57)</f>
        <v>2589370.5122070806</v>
      </c>
      <c r="R57" s="299">
        <v>3</v>
      </c>
      <c r="S57" s="376" t="s">
        <v>359</v>
      </c>
      <c r="T57" s="297">
        <f>Q57/R57</f>
        <v>863123.50406902691</v>
      </c>
      <c r="U57" s="379">
        <f>(Q57-I57)*100/I57</f>
        <v>-14.129214995349969</v>
      </c>
      <c r="V57" s="379">
        <v>0</v>
      </c>
      <c r="W57" s="456">
        <f>(T57-L57)*100/L57</f>
        <v>-14.12921499534996</v>
      </c>
    </row>
    <row r="58" spans="1:26" s="311" customFormat="1" ht="21.75" customHeight="1">
      <c r="A58" s="393"/>
      <c r="B58" s="576" t="s">
        <v>132</v>
      </c>
      <c r="C58" s="576"/>
      <c r="D58" s="576"/>
      <c r="E58" s="297"/>
      <c r="F58" s="297"/>
      <c r="G58" s="297"/>
      <c r="H58" s="297"/>
      <c r="I58" s="297"/>
      <c r="J58" s="375"/>
      <c r="K58" s="376"/>
      <c r="L58" s="377"/>
      <c r="M58" s="294"/>
      <c r="N58" s="295"/>
      <c r="O58" s="295"/>
      <c r="P58" s="295"/>
      <c r="Q58" s="295"/>
      <c r="R58" s="385"/>
      <c r="S58" s="376"/>
      <c r="T58" s="297"/>
      <c r="U58" s="379"/>
      <c r="V58" s="379"/>
      <c r="W58" s="456"/>
    </row>
    <row r="59" spans="1:26" s="313" customFormat="1" ht="21.75" customHeight="1">
      <c r="A59" s="386" t="s">
        <v>307</v>
      </c>
      <c r="B59" s="576" t="s">
        <v>133</v>
      </c>
      <c r="C59" s="576"/>
      <c r="D59" s="576"/>
      <c r="E59" s="297">
        <v>1650163.4695043147</v>
      </c>
      <c r="F59" s="297">
        <v>514344.95897071995</v>
      </c>
      <c r="G59" s="297">
        <v>210703.79867155643</v>
      </c>
      <c r="H59" s="297">
        <v>640214.39561790624</v>
      </c>
      <c r="I59" s="297">
        <v>3015426.6227644971</v>
      </c>
      <c r="J59" s="375">
        <v>13843</v>
      </c>
      <c r="K59" s="376" t="s">
        <v>212</v>
      </c>
      <c r="L59" s="377">
        <f>I59/J59</f>
        <v>217.83042857505578</v>
      </c>
      <c r="M59" s="301">
        <v>1469227.401766513</v>
      </c>
      <c r="N59" s="302">
        <v>509050.00008137716</v>
      </c>
      <c r="O59" s="302">
        <v>167152.12511891604</v>
      </c>
      <c r="P59" s="302">
        <v>443940.98524027434</v>
      </c>
      <c r="Q59" s="295">
        <f>SUM(M59:P59)</f>
        <v>2589370.5122070806</v>
      </c>
      <c r="R59" s="299">
        <v>12493</v>
      </c>
      <c r="S59" s="376" t="s">
        <v>362</v>
      </c>
      <c r="T59" s="297">
        <f>Q59/R59</f>
        <v>207.26570977403992</v>
      </c>
      <c r="U59" s="379">
        <f>(Q59-I59)*100/I59</f>
        <v>-14.129214995349969</v>
      </c>
      <c r="V59" s="379">
        <f>(R59-J59)*100/J59</f>
        <v>-9.7522213393050645</v>
      </c>
      <c r="W59" s="456">
        <f>(T59-L59)*100/L59</f>
        <v>-4.8499738398006551</v>
      </c>
    </row>
    <row r="60" spans="1:26" s="313" customFormat="1" ht="21.75" customHeight="1">
      <c r="A60" s="386"/>
      <c r="B60" s="374"/>
      <c r="C60" s="374"/>
      <c r="D60" s="374"/>
      <c r="E60" s="297"/>
      <c r="F60" s="297"/>
      <c r="G60" s="297"/>
      <c r="H60" s="297"/>
      <c r="I60" s="297"/>
      <c r="J60" s="375"/>
      <c r="K60" s="376" t="s">
        <v>200</v>
      </c>
      <c r="L60" s="394"/>
      <c r="M60" s="294"/>
      <c r="N60" s="295"/>
      <c r="O60" s="295"/>
      <c r="P60" s="295"/>
      <c r="Q60" s="295"/>
      <c r="R60" s="295"/>
      <c r="S60" s="376"/>
      <c r="T60" s="297"/>
      <c r="U60" s="379"/>
      <c r="V60" s="379"/>
      <c r="W60" s="456"/>
    </row>
    <row r="61" spans="1:26" s="313" customFormat="1" ht="21.75" customHeight="1">
      <c r="A61" s="392"/>
      <c r="B61" s="582"/>
      <c r="C61" s="582"/>
      <c r="D61" s="582"/>
      <c r="E61" s="446"/>
      <c r="F61" s="446"/>
      <c r="G61" s="446"/>
      <c r="H61" s="446"/>
      <c r="I61" s="446"/>
      <c r="J61" s="447"/>
      <c r="K61" s="448"/>
      <c r="L61" s="449"/>
      <c r="M61" s="450"/>
      <c r="N61" s="451"/>
      <c r="O61" s="451"/>
      <c r="P61" s="451"/>
      <c r="Q61" s="451"/>
      <c r="R61" s="452"/>
      <c r="S61" s="448"/>
      <c r="T61" s="446"/>
      <c r="U61" s="453"/>
      <c r="V61" s="453"/>
      <c r="W61" s="457"/>
    </row>
    <row r="62" spans="1:26" s="312" customFormat="1" ht="21.75" customHeight="1" thickBot="1">
      <c r="A62" s="583" t="s">
        <v>26</v>
      </c>
      <c r="B62" s="584"/>
      <c r="C62" s="584"/>
      <c r="D62" s="584"/>
      <c r="E62" s="458">
        <f>SUM(E6:E61)</f>
        <v>214058591.71297407</v>
      </c>
      <c r="F62" s="458">
        <f>SUM(F6:F61)</f>
        <v>39124415.649999999</v>
      </c>
      <c r="G62" s="458">
        <f>SUM(G6:G61)</f>
        <v>15362895.419999994</v>
      </c>
      <c r="H62" s="458">
        <f>SUM(H6:H61)</f>
        <v>43840362.550000019</v>
      </c>
      <c r="I62" s="458">
        <f>SUM(I6:I61)</f>
        <v>312386265.33000004</v>
      </c>
      <c r="J62" s="459"/>
      <c r="K62" s="460"/>
      <c r="L62" s="461"/>
      <c r="M62" s="462">
        <f>SUM(M7:M61)</f>
        <v>235953028.38000003</v>
      </c>
      <c r="N62" s="463">
        <f>SUM(N7:N61)</f>
        <v>37044215.239999995</v>
      </c>
      <c r="O62" s="463">
        <f>SUM(O7:O61)</f>
        <v>15895196.32</v>
      </c>
      <c r="P62" s="463">
        <f>SUM(P7:P61)</f>
        <v>38800442.109999985</v>
      </c>
      <c r="Q62" s="463">
        <f>SUM(Q7:Q61)</f>
        <v>327692882.04999995</v>
      </c>
      <c r="R62" s="464"/>
      <c r="S62" s="460"/>
      <c r="T62" s="460"/>
      <c r="U62" s="465"/>
      <c r="V62" s="465"/>
      <c r="W62" s="466"/>
    </row>
    <row r="63" spans="1:26" ht="21.75" thickTop="1">
      <c r="E63" s="397"/>
      <c r="F63" s="397"/>
      <c r="G63" s="397"/>
      <c r="H63" s="397"/>
      <c r="I63" s="397"/>
      <c r="M63" s="399"/>
      <c r="N63" s="399"/>
      <c r="O63" s="399"/>
      <c r="P63" s="399"/>
      <c r="Q63" s="399"/>
    </row>
    <row r="64" spans="1:26" s="402" customFormat="1" ht="21.75">
      <c r="A64" s="400"/>
      <c r="B64" s="428" t="s">
        <v>256</v>
      </c>
      <c r="C64" s="428"/>
      <c r="D64" s="429"/>
      <c r="E64" s="430"/>
      <c r="F64" s="431"/>
      <c r="G64" s="431"/>
      <c r="H64" s="431"/>
      <c r="I64" s="431"/>
      <c r="J64" s="432"/>
      <c r="K64" s="431"/>
      <c r="L64" s="431"/>
      <c r="M64" s="431"/>
      <c r="N64" s="431"/>
      <c r="O64" s="431"/>
      <c r="P64" s="431"/>
      <c r="Q64" s="431"/>
      <c r="R64" s="433"/>
      <c r="S64" s="431"/>
      <c r="T64" s="431"/>
      <c r="U64" s="434"/>
      <c r="V64" s="434"/>
      <c r="W64" s="435"/>
    </row>
    <row r="65" spans="1:23" s="402" customFormat="1" ht="21.75">
      <c r="A65" s="400"/>
      <c r="C65" s="428" t="s">
        <v>394</v>
      </c>
      <c r="D65" s="429" t="s">
        <v>84</v>
      </c>
      <c r="E65" s="430" t="s">
        <v>395</v>
      </c>
      <c r="F65" s="431"/>
      <c r="G65" s="431"/>
      <c r="H65" s="431"/>
      <c r="I65" s="431"/>
      <c r="J65" s="432"/>
      <c r="K65" s="431"/>
      <c r="L65" s="431"/>
      <c r="M65" s="431"/>
      <c r="N65" s="431"/>
      <c r="O65" s="431"/>
      <c r="P65" s="431"/>
      <c r="Q65" s="431"/>
      <c r="R65" s="433"/>
      <c r="S65" s="431"/>
      <c r="T65" s="431"/>
      <c r="U65" s="500"/>
      <c r="V65" s="500"/>
      <c r="W65" s="501"/>
    </row>
    <row r="66" spans="1:23" s="402" customFormat="1" ht="21.75">
      <c r="A66" s="400"/>
      <c r="C66" s="428" t="s">
        <v>291</v>
      </c>
      <c r="D66" s="429" t="s">
        <v>84</v>
      </c>
      <c r="E66" s="430" t="s">
        <v>396</v>
      </c>
      <c r="F66" s="431"/>
      <c r="G66" s="431"/>
      <c r="H66" s="431"/>
      <c r="I66" s="431"/>
      <c r="J66" s="432"/>
      <c r="K66" s="431"/>
      <c r="L66" s="431"/>
      <c r="M66" s="431"/>
      <c r="N66" s="431"/>
      <c r="O66" s="431"/>
      <c r="P66" s="431"/>
      <c r="Q66" s="431"/>
      <c r="R66" s="433"/>
      <c r="S66" s="431"/>
      <c r="T66" s="431"/>
      <c r="U66" s="500"/>
      <c r="V66" s="500"/>
      <c r="W66" s="501"/>
    </row>
    <row r="67" spans="1:23" s="402" customFormat="1" ht="21.75">
      <c r="A67" s="400"/>
      <c r="C67" s="428" t="s">
        <v>310</v>
      </c>
      <c r="D67" s="429" t="s">
        <v>84</v>
      </c>
      <c r="E67" s="430" t="s">
        <v>405</v>
      </c>
      <c r="F67" s="431"/>
      <c r="G67" s="431"/>
      <c r="H67" s="431"/>
      <c r="I67" s="431"/>
      <c r="J67" s="432"/>
      <c r="K67" s="431"/>
      <c r="L67" s="431"/>
      <c r="M67" s="431"/>
      <c r="N67" s="431"/>
      <c r="O67" s="431"/>
      <c r="P67" s="431"/>
      <c r="Q67" s="431"/>
      <c r="R67" s="433"/>
      <c r="S67" s="431"/>
      <c r="T67" s="431"/>
      <c r="U67" s="500"/>
      <c r="V67" s="500"/>
      <c r="W67" s="501"/>
    </row>
    <row r="68" spans="1:23" s="402" customFormat="1" ht="21.75">
      <c r="A68" s="400"/>
      <c r="C68" s="428" t="s">
        <v>311</v>
      </c>
      <c r="D68" s="429" t="s">
        <v>84</v>
      </c>
      <c r="E68" s="430" t="s">
        <v>404</v>
      </c>
      <c r="F68" s="431"/>
      <c r="G68" s="431"/>
      <c r="H68" s="431"/>
      <c r="I68" s="431"/>
      <c r="J68" s="432"/>
      <c r="K68" s="431"/>
      <c r="L68" s="431"/>
      <c r="M68" s="431"/>
      <c r="N68" s="431"/>
      <c r="O68" s="431"/>
      <c r="P68" s="431"/>
      <c r="Q68" s="431"/>
      <c r="R68" s="433"/>
      <c r="S68" s="431"/>
      <c r="T68" s="431"/>
      <c r="U68" s="500"/>
      <c r="V68" s="500"/>
      <c r="W68" s="501"/>
    </row>
    <row r="69" spans="1:23" s="402" customFormat="1" ht="21.75">
      <c r="A69" s="400"/>
      <c r="C69" s="428" t="s">
        <v>386</v>
      </c>
      <c r="D69" s="429" t="s">
        <v>84</v>
      </c>
      <c r="E69" s="430" t="s">
        <v>476</v>
      </c>
      <c r="F69" s="431"/>
      <c r="G69" s="431"/>
      <c r="H69" s="431"/>
      <c r="I69" s="431"/>
      <c r="J69" s="432"/>
      <c r="K69" s="431"/>
      <c r="L69" s="431"/>
      <c r="M69" s="431"/>
      <c r="N69" s="431"/>
      <c r="O69" s="431"/>
      <c r="P69" s="431"/>
      <c r="Q69" s="431"/>
      <c r="R69" s="433"/>
      <c r="S69" s="431"/>
      <c r="T69" s="431"/>
      <c r="U69" s="500"/>
      <c r="V69" s="500"/>
      <c r="W69" s="501"/>
    </row>
    <row r="70" spans="1:23" s="402" customFormat="1" ht="21.75">
      <c r="A70" s="400"/>
      <c r="C70" s="428" t="s">
        <v>402</v>
      </c>
      <c r="D70" s="429" t="s">
        <v>84</v>
      </c>
      <c r="E70" s="430" t="s">
        <v>477</v>
      </c>
      <c r="F70" s="431"/>
      <c r="G70" s="431"/>
      <c r="H70" s="431"/>
      <c r="I70" s="431"/>
      <c r="J70" s="432"/>
      <c r="K70" s="431"/>
      <c r="L70" s="431"/>
      <c r="M70" s="431"/>
      <c r="N70" s="431"/>
      <c r="O70" s="431"/>
      <c r="P70" s="431"/>
      <c r="Q70" s="431"/>
      <c r="R70" s="433"/>
      <c r="S70" s="431"/>
      <c r="T70" s="431"/>
      <c r="U70" s="500"/>
      <c r="V70" s="500"/>
      <c r="W70" s="501"/>
    </row>
    <row r="71" spans="1:23" s="402" customFormat="1" ht="21.75">
      <c r="A71" s="400"/>
      <c r="C71" s="428" t="s">
        <v>403</v>
      </c>
      <c r="D71" s="429" t="s">
        <v>84</v>
      </c>
      <c r="E71" s="430" t="s">
        <v>478</v>
      </c>
      <c r="F71" s="431"/>
      <c r="G71" s="431"/>
      <c r="H71" s="431"/>
      <c r="I71" s="431"/>
      <c r="J71" s="432"/>
      <c r="K71" s="431"/>
      <c r="L71" s="431"/>
      <c r="M71" s="431"/>
      <c r="N71" s="431"/>
      <c r="O71" s="431"/>
      <c r="P71" s="431"/>
      <c r="Q71" s="431"/>
      <c r="R71" s="433"/>
      <c r="S71" s="431"/>
      <c r="T71" s="431"/>
      <c r="U71" s="500"/>
      <c r="V71" s="500"/>
      <c r="W71" s="501"/>
    </row>
    <row r="72" spans="1:23" s="402" customFormat="1" ht="21.75">
      <c r="A72" s="400"/>
      <c r="C72" s="428" t="s">
        <v>381</v>
      </c>
      <c r="D72" s="429" t="s">
        <v>84</v>
      </c>
      <c r="E72" s="430" t="s">
        <v>406</v>
      </c>
      <c r="F72" s="431"/>
      <c r="G72" s="431"/>
      <c r="H72" s="431"/>
      <c r="I72" s="431"/>
      <c r="J72" s="432"/>
      <c r="K72" s="431"/>
      <c r="L72" s="431"/>
      <c r="M72" s="431"/>
      <c r="N72" s="431"/>
      <c r="O72" s="431"/>
      <c r="P72" s="431"/>
      <c r="Q72" s="431"/>
      <c r="R72" s="433"/>
      <c r="S72" s="431"/>
      <c r="T72" s="431"/>
      <c r="U72" s="500"/>
      <c r="V72" s="500"/>
      <c r="W72" s="501"/>
    </row>
    <row r="73" spans="1:23" s="402" customFormat="1" ht="21.75">
      <c r="A73" s="400"/>
      <c r="C73" s="428" t="s">
        <v>382</v>
      </c>
      <c r="D73" s="429" t="s">
        <v>84</v>
      </c>
      <c r="E73" s="430" t="s">
        <v>397</v>
      </c>
      <c r="F73" s="431"/>
      <c r="G73" s="431"/>
      <c r="H73" s="431"/>
      <c r="I73" s="431"/>
      <c r="J73" s="432"/>
      <c r="K73" s="431"/>
      <c r="L73" s="431"/>
      <c r="M73" s="431"/>
      <c r="N73" s="431"/>
      <c r="O73" s="431"/>
      <c r="P73" s="431"/>
      <c r="Q73" s="431"/>
      <c r="R73" s="433"/>
      <c r="S73" s="431"/>
      <c r="T73" s="431"/>
      <c r="U73" s="500"/>
      <c r="V73" s="500"/>
      <c r="W73" s="501"/>
    </row>
    <row r="74" spans="1:23" s="402" customFormat="1" ht="21.75">
      <c r="A74" s="400"/>
      <c r="C74" s="428" t="s">
        <v>257</v>
      </c>
      <c r="D74" s="429" t="s">
        <v>84</v>
      </c>
      <c r="E74" s="430" t="s">
        <v>398</v>
      </c>
      <c r="F74" s="431"/>
      <c r="G74" s="431"/>
      <c r="H74" s="431"/>
      <c r="I74" s="431"/>
      <c r="J74" s="432"/>
      <c r="K74" s="431"/>
      <c r="L74" s="431"/>
      <c r="M74" s="431"/>
      <c r="N74" s="431"/>
      <c r="O74" s="431"/>
      <c r="P74" s="431"/>
      <c r="Q74" s="431"/>
      <c r="R74" s="433"/>
      <c r="S74" s="431"/>
      <c r="T74" s="431"/>
      <c r="U74" s="500"/>
      <c r="V74" s="500"/>
      <c r="W74" s="501"/>
    </row>
    <row r="75" spans="1:23" s="402" customFormat="1" ht="21.75">
      <c r="A75" s="400"/>
      <c r="C75" s="428" t="s">
        <v>407</v>
      </c>
      <c r="D75" s="429" t="s">
        <v>84</v>
      </c>
      <c r="E75" s="430" t="s">
        <v>479</v>
      </c>
      <c r="F75" s="431"/>
      <c r="G75" s="431"/>
      <c r="H75" s="431"/>
      <c r="I75" s="431"/>
      <c r="J75" s="432"/>
      <c r="K75" s="431"/>
      <c r="L75" s="431"/>
      <c r="M75" s="431"/>
      <c r="N75" s="431"/>
      <c r="O75" s="431"/>
      <c r="P75" s="431"/>
      <c r="Q75" s="431"/>
      <c r="R75" s="433"/>
      <c r="S75" s="431"/>
      <c r="T75" s="431"/>
      <c r="U75" s="500"/>
      <c r="V75" s="500"/>
      <c r="W75" s="501"/>
    </row>
    <row r="76" spans="1:23" s="437" customFormat="1" ht="21.75">
      <c r="A76" s="436"/>
      <c r="C76" s="438"/>
      <c r="D76" s="439"/>
      <c r="E76" s="440"/>
      <c r="F76" s="441"/>
      <c r="G76" s="441"/>
      <c r="H76" s="441"/>
      <c r="I76" s="441"/>
      <c r="J76" s="442"/>
      <c r="K76" s="441"/>
      <c r="L76" s="441"/>
      <c r="M76" s="441"/>
      <c r="N76" s="441"/>
      <c r="O76" s="441"/>
      <c r="P76" s="441"/>
      <c r="Q76" s="441"/>
      <c r="R76" s="443"/>
      <c r="S76" s="441"/>
      <c r="T76" s="441"/>
      <c r="U76" s="444"/>
      <c r="V76" s="444"/>
      <c r="W76" s="445"/>
    </row>
    <row r="77" spans="1:23" s="437" customFormat="1" ht="21.75">
      <c r="A77" s="436"/>
      <c r="C77" s="438"/>
      <c r="D77" s="439"/>
      <c r="E77" s="440"/>
      <c r="F77" s="441"/>
      <c r="G77" s="441"/>
      <c r="H77" s="441"/>
      <c r="I77" s="441"/>
      <c r="J77" s="442"/>
      <c r="K77" s="441"/>
      <c r="L77" s="441"/>
      <c r="M77" s="441"/>
      <c r="N77" s="441"/>
      <c r="O77" s="441"/>
      <c r="P77" s="441"/>
      <c r="Q77" s="441"/>
      <c r="R77" s="443"/>
      <c r="S77" s="441"/>
      <c r="T77" s="441"/>
      <c r="U77" s="444"/>
      <c r="V77" s="444"/>
      <c r="W77" s="445"/>
    </row>
    <row r="78" spans="1:23" s="437" customFormat="1" ht="21.75">
      <c r="A78" s="436"/>
      <c r="C78" s="438"/>
      <c r="D78" s="439"/>
      <c r="E78" s="440"/>
      <c r="F78" s="441"/>
      <c r="G78" s="441"/>
      <c r="H78" s="441"/>
      <c r="I78" s="441"/>
      <c r="J78" s="442"/>
      <c r="K78" s="441"/>
      <c r="L78" s="441"/>
      <c r="M78" s="441"/>
      <c r="N78" s="441"/>
      <c r="O78" s="441"/>
      <c r="P78" s="441"/>
      <c r="Q78" s="441"/>
      <c r="R78" s="443"/>
      <c r="S78" s="441"/>
      <c r="T78" s="441"/>
      <c r="U78" s="444"/>
      <c r="V78" s="444"/>
      <c r="W78" s="445"/>
    </row>
    <row r="79" spans="1:23" s="437" customFormat="1" ht="21.75">
      <c r="A79" s="436"/>
      <c r="C79" s="438"/>
      <c r="D79" s="439"/>
      <c r="E79" s="440"/>
      <c r="F79" s="441"/>
      <c r="G79" s="441"/>
      <c r="H79" s="441"/>
      <c r="I79" s="441"/>
      <c r="J79" s="442"/>
      <c r="K79" s="441"/>
      <c r="L79" s="441"/>
      <c r="M79" s="441"/>
      <c r="N79" s="441"/>
      <c r="O79" s="441"/>
      <c r="P79" s="441"/>
      <c r="Q79" s="441"/>
      <c r="R79" s="443"/>
      <c r="S79" s="441"/>
      <c r="T79" s="441"/>
      <c r="U79" s="444"/>
      <c r="V79" s="444"/>
      <c r="W79" s="445"/>
    </row>
    <row r="80" spans="1:23" s="437" customFormat="1" ht="21.75">
      <c r="A80" s="436"/>
      <c r="C80" s="438"/>
      <c r="D80" s="439"/>
      <c r="E80" s="440"/>
      <c r="F80" s="441"/>
      <c r="G80" s="441"/>
      <c r="H80" s="441"/>
      <c r="I80" s="441"/>
      <c r="J80" s="442"/>
      <c r="K80" s="441"/>
      <c r="L80" s="441"/>
      <c r="M80" s="441"/>
      <c r="N80" s="441"/>
      <c r="O80" s="441"/>
      <c r="P80" s="441"/>
      <c r="Q80" s="441"/>
      <c r="R80" s="443"/>
      <c r="S80" s="441"/>
      <c r="T80" s="441"/>
      <c r="U80" s="444"/>
      <c r="V80" s="444"/>
      <c r="W80" s="445"/>
    </row>
    <row r="81" spans="9:13">
      <c r="I81" s="403"/>
      <c r="J81" s="404"/>
      <c r="K81" s="403"/>
      <c r="L81" s="403"/>
      <c r="M81" s="403"/>
    </row>
    <row r="82" spans="9:13">
      <c r="I82" s="403"/>
      <c r="J82" s="404"/>
      <c r="K82" s="403"/>
      <c r="L82" s="403"/>
      <c r="M82" s="403"/>
    </row>
    <row r="83" spans="9:13">
      <c r="I83" s="403"/>
      <c r="J83" s="404"/>
      <c r="K83" s="403"/>
      <c r="L83" s="403"/>
      <c r="M83" s="403"/>
    </row>
  </sheetData>
  <autoFilter ref="U1:W83">
    <filterColumn colId="0" showButton="0"/>
    <filterColumn colId="1" showButton="0"/>
  </autoFilter>
  <mergeCells count="58">
    <mergeCell ref="B59:D59"/>
    <mergeCell ref="B61:D61"/>
    <mergeCell ref="A62:D62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0:D40"/>
    <mergeCell ref="B41:D41"/>
    <mergeCell ref="B43:D43"/>
    <mergeCell ref="B44:D44"/>
    <mergeCell ref="B45:D45"/>
    <mergeCell ref="B46:D46"/>
    <mergeCell ref="B42:D42"/>
    <mergeCell ref="B33:D33"/>
    <mergeCell ref="B34:D34"/>
    <mergeCell ref="B36:D36"/>
    <mergeCell ref="B37:D37"/>
    <mergeCell ref="B38:D38"/>
    <mergeCell ref="B39:D39"/>
    <mergeCell ref="B27:D27"/>
    <mergeCell ref="B28:D28"/>
    <mergeCell ref="B29:D29"/>
    <mergeCell ref="B30:D30"/>
    <mergeCell ref="B31:D31"/>
    <mergeCell ref="B32:D32"/>
    <mergeCell ref="B20:D20"/>
    <mergeCell ref="B21:D21"/>
    <mergeCell ref="B22:D22"/>
    <mergeCell ref="B23:D23"/>
    <mergeCell ref="B24:D24"/>
    <mergeCell ref="B26:D26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A1:W1"/>
    <mergeCell ref="A4:L4"/>
    <mergeCell ref="M4:T4"/>
    <mergeCell ref="U4:W4"/>
    <mergeCell ref="A5:D5"/>
    <mergeCell ref="B7:D7"/>
  </mergeCells>
  <pageMargins left="0.31496062992125984" right="0.15748031496062992" top="0" bottom="0" header="0.51181102362204722" footer="0"/>
  <pageSetup paperSize="9" scale="40" orientation="landscape" r:id="rId1"/>
  <headerFooter alignWithMargins="0"/>
  <rowBreaks count="1" manualBreakCount="1">
    <brk id="56" max="2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23"/>
  <sheetViews>
    <sheetView zoomScale="87" zoomScaleNormal="87" workbookViewId="0">
      <selection activeCell="Y24" sqref="Y24"/>
    </sheetView>
  </sheetViews>
  <sheetFormatPr defaultColWidth="9.28515625" defaultRowHeight="21"/>
  <cols>
    <col min="1" max="1" width="47.42578125" style="1" customWidth="1"/>
    <col min="2" max="2" width="15.28515625" style="1" customWidth="1"/>
    <col min="3" max="3" width="14.28515625" style="1" bestFit="1" customWidth="1"/>
    <col min="4" max="4" width="14" style="1" bestFit="1" customWidth="1"/>
    <col min="5" max="5" width="14.28515625" style="1" bestFit="1" customWidth="1"/>
    <col min="6" max="6" width="15.28515625" style="1" bestFit="1" customWidth="1"/>
    <col min="7" max="7" width="6.7109375" style="1" customWidth="1"/>
    <col min="8" max="8" width="10" style="1" customWidth="1"/>
    <col min="9" max="9" width="13.5703125" style="1" bestFit="1" customWidth="1"/>
    <col min="10" max="10" width="15" style="1" bestFit="1" customWidth="1"/>
    <col min="11" max="11" width="14.42578125" style="1" bestFit="1" customWidth="1"/>
    <col min="12" max="13" width="14" style="1" bestFit="1" customWidth="1"/>
    <col min="14" max="14" width="15.140625" style="1" bestFit="1" customWidth="1"/>
    <col min="15" max="15" width="6.7109375" style="1" customWidth="1"/>
    <col min="16" max="16" width="9.42578125" style="1" customWidth="1"/>
    <col min="17" max="17" width="13.42578125" style="1" bestFit="1" customWidth="1"/>
    <col min="18" max="18" width="9.7109375" style="167" customWidth="1"/>
    <col min="19" max="19" width="9.5703125" style="167" customWidth="1"/>
    <col min="20" max="20" width="12.5703125" style="167" customWidth="1"/>
    <col min="21" max="16384" width="9.28515625" style="1"/>
  </cols>
  <sheetData>
    <row r="1" spans="1:20" s="13" customFormat="1" ht="24">
      <c r="A1" s="544" t="s">
        <v>368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</row>
    <row r="2" spans="1:20" s="13" customFormat="1" ht="24">
      <c r="A2" s="12" t="s">
        <v>253</v>
      </c>
      <c r="R2" s="166"/>
      <c r="S2" s="166"/>
      <c r="T2" s="166"/>
    </row>
    <row r="3" spans="1:20" s="13" customFormat="1" ht="22.5" thickBot="1">
      <c r="R3" s="166"/>
      <c r="S3" s="166"/>
      <c r="T3" s="168" t="s">
        <v>63</v>
      </c>
    </row>
    <row r="4" spans="1:20" s="13" customFormat="1" ht="21.75">
      <c r="A4" s="585" t="s">
        <v>297</v>
      </c>
      <c r="B4" s="586"/>
      <c r="C4" s="586"/>
      <c r="D4" s="586"/>
      <c r="E4" s="586"/>
      <c r="F4" s="586"/>
      <c r="G4" s="586"/>
      <c r="H4" s="586"/>
      <c r="I4" s="587"/>
      <c r="J4" s="588" t="s">
        <v>369</v>
      </c>
      <c r="K4" s="589"/>
      <c r="L4" s="589"/>
      <c r="M4" s="589"/>
      <c r="N4" s="589"/>
      <c r="O4" s="589"/>
      <c r="P4" s="589"/>
      <c r="Q4" s="590"/>
      <c r="R4" s="591" t="s">
        <v>70</v>
      </c>
      <c r="S4" s="592"/>
      <c r="T4" s="593"/>
    </row>
    <row r="5" spans="1:20" s="93" customFormat="1" ht="65.25">
      <c r="A5" s="92" t="s">
        <v>4</v>
      </c>
      <c r="B5" s="90" t="s">
        <v>68</v>
      </c>
      <c r="C5" s="90" t="s">
        <v>69</v>
      </c>
      <c r="D5" s="90" t="s">
        <v>24</v>
      </c>
      <c r="E5" s="90" t="s">
        <v>25</v>
      </c>
      <c r="F5" s="90" t="s">
        <v>26</v>
      </c>
      <c r="G5" s="90" t="s">
        <v>5</v>
      </c>
      <c r="H5" s="90" t="s">
        <v>6</v>
      </c>
      <c r="I5" s="91" t="s">
        <v>27</v>
      </c>
      <c r="J5" s="92" t="s">
        <v>68</v>
      </c>
      <c r="K5" s="90" t="s">
        <v>69</v>
      </c>
      <c r="L5" s="90" t="s">
        <v>24</v>
      </c>
      <c r="M5" s="90" t="s">
        <v>25</v>
      </c>
      <c r="N5" s="90" t="s">
        <v>26</v>
      </c>
      <c r="O5" s="90" t="s">
        <v>5</v>
      </c>
      <c r="P5" s="90" t="s">
        <v>6</v>
      </c>
      <c r="Q5" s="91" t="s">
        <v>27</v>
      </c>
      <c r="R5" s="478" t="s">
        <v>71</v>
      </c>
      <c r="S5" s="479" t="s">
        <v>72</v>
      </c>
      <c r="T5" s="169" t="s">
        <v>73</v>
      </c>
    </row>
    <row r="6" spans="1:20" s="13" customFormat="1" ht="21.75">
      <c r="A6" s="114" t="s">
        <v>49</v>
      </c>
      <c r="B6" s="528">
        <v>20914944.657362163</v>
      </c>
      <c r="C6" s="117">
        <v>5474437.3985234788</v>
      </c>
      <c r="D6" s="117">
        <v>2108761.0770320748</v>
      </c>
      <c r="E6" s="117">
        <v>5990108.5374608682</v>
      </c>
      <c r="F6" s="205">
        <v>34488251.670378588</v>
      </c>
      <c r="G6" s="94">
        <v>1</v>
      </c>
      <c r="H6" s="94" t="s">
        <v>179</v>
      </c>
      <c r="I6" s="115">
        <v>34488251.670378603</v>
      </c>
      <c r="J6" s="116">
        <v>20271337.942494985</v>
      </c>
      <c r="K6" s="117">
        <v>5497051.1704434967</v>
      </c>
      <c r="L6" s="117">
        <v>2273328.9974761428</v>
      </c>
      <c r="M6" s="117">
        <v>5510787.43011594</v>
      </c>
      <c r="N6" s="205">
        <f>SUM(J6:M6)</f>
        <v>33552505.540530562</v>
      </c>
      <c r="O6" s="94">
        <v>1</v>
      </c>
      <c r="P6" s="94" t="s">
        <v>179</v>
      </c>
      <c r="Q6" s="115">
        <f t="shared" ref="Q6:Q15" si="0">N6/O6</f>
        <v>33552505.540530562</v>
      </c>
      <c r="R6" s="480">
        <f>(N6-F6)*100/F6</f>
        <v>-2.7132315630012735</v>
      </c>
      <c r="S6" s="481">
        <f>(O6-G6)*100/G6</f>
        <v>0</v>
      </c>
      <c r="T6" s="170">
        <f>(Q6-I6)*100/I6</f>
        <v>-2.7132315630013153</v>
      </c>
    </row>
    <row r="7" spans="1:20" s="13" customFormat="1" ht="21.75">
      <c r="A7" s="118" t="s">
        <v>50</v>
      </c>
      <c r="B7" s="529">
        <v>19578344.337984953</v>
      </c>
      <c r="C7" s="121">
        <v>3310203.6936628325</v>
      </c>
      <c r="D7" s="121">
        <v>1900673.6302396066</v>
      </c>
      <c r="E7" s="121">
        <v>5185736.604505036</v>
      </c>
      <c r="F7" s="206">
        <v>29974958.266392428</v>
      </c>
      <c r="G7" s="101">
        <v>1</v>
      </c>
      <c r="H7" s="101" t="s">
        <v>179</v>
      </c>
      <c r="I7" s="119">
        <v>29974958.266392428</v>
      </c>
      <c r="J7" s="120">
        <v>20305019.745766357</v>
      </c>
      <c r="K7" s="121">
        <v>2780260.3939691084</v>
      </c>
      <c r="L7" s="121">
        <v>1977231.6972700227</v>
      </c>
      <c r="M7" s="121">
        <v>4741289.7223661328</v>
      </c>
      <c r="N7" s="206">
        <f t="shared" ref="N7:N14" si="1">SUM(J7:M7)</f>
        <v>29803801.55937162</v>
      </c>
      <c r="O7" s="101">
        <v>1</v>
      </c>
      <c r="P7" s="101" t="s">
        <v>179</v>
      </c>
      <c r="Q7" s="102">
        <f t="shared" si="0"/>
        <v>29803801.55937162</v>
      </c>
      <c r="R7" s="482">
        <f t="shared" ref="R7:S14" si="2">(N7-F7)*100/F7</f>
        <v>-0.57099898355056899</v>
      </c>
      <c r="S7" s="483">
        <f t="shared" si="2"/>
        <v>0</v>
      </c>
      <c r="T7" s="171">
        <f>(Q7-I7)*100/I7</f>
        <v>-0.57099898355056899</v>
      </c>
    </row>
    <row r="8" spans="1:20" s="13" customFormat="1" ht="21.75">
      <c r="A8" s="118" t="s">
        <v>51</v>
      </c>
      <c r="B8" s="529">
        <v>17833506.857832436</v>
      </c>
      <c r="C8" s="121">
        <v>4363969.5787307462</v>
      </c>
      <c r="D8" s="121">
        <v>1772543.9859847014</v>
      </c>
      <c r="E8" s="121">
        <v>5382725.6493105507</v>
      </c>
      <c r="F8" s="206">
        <v>29352746.071858436</v>
      </c>
      <c r="G8" s="101">
        <v>1</v>
      </c>
      <c r="H8" s="101" t="s">
        <v>179</v>
      </c>
      <c r="I8" s="119">
        <v>29352746.071858436</v>
      </c>
      <c r="J8" s="120">
        <v>20501219.057119671</v>
      </c>
      <c r="K8" s="121">
        <v>4878943.2429853836</v>
      </c>
      <c r="L8" s="121">
        <v>1919873.3722938052</v>
      </c>
      <c r="M8" s="121">
        <v>4830077.9194141878</v>
      </c>
      <c r="N8" s="206">
        <f t="shared" si="1"/>
        <v>32130113.591813046</v>
      </c>
      <c r="O8" s="101">
        <v>1</v>
      </c>
      <c r="P8" s="101" t="s">
        <v>179</v>
      </c>
      <c r="Q8" s="102">
        <f t="shared" si="0"/>
        <v>32130113.591813046</v>
      </c>
      <c r="R8" s="482">
        <f t="shared" si="2"/>
        <v>9.4620364076169885</v>
      </c>
      <c r="S8" s="483">
        <f t="shared" si="2"/>
        <v>0</v>
      </c>
      <c r="T8" s="171">
        <f t="shared" ref="T8:T13" si="3">(Q8-I8)*100/I8</f>
        <v>9.4620364076169885</v>
      </c>
    </row>
    <row r="9" spans="1:20" s="13" customFormat="1" ht="21.75">
      <c r="A9" s="118" t="s">
        <v>164</v>
      </c>
      <c r="B9" s="530">
        <v>14098759.65943387</v>
      </c>
      <c r="C9" s="110">
        <v>2830710.9005176509</v>
      </c>
      <c r="D9" s="110">
        <v>1202380.0256612112</v>
      </c>
      <c r="E9" s="110">
        <v>3314340.68</v>
      </c>
      <c r="F9" s="206">
        <v>21446191.264465429</v>
      </c>
      <c r="G9" s="58">
        <v>1</v>
      </c>
      <c r="H9" s="58" t="s">
        <v>179</v>
      </c>
      <c r="I9" s="100">
        <v>21446191.264465429</v>
      </c>
      <c r="J9" s="121">
        <v>12512031.547347005</v>
      </c>
      <c r="K9" s="121">
        <v>4114826.00462732</v>
      </c>
      <c r="L9" s="121">
        <v>1234281.7817705753</v>
      </c>
      <c r="M9" s="121">
        <v>2876737.5843569785</v>
      </c>
      <c r="N9" s="206">
        <f t="shared" si="1"/>
        <v>20737876.918101881</v>
      </c>
      <c r="O9" s="58">
        <v>1</v>
      </c>
      <c r="P9" s="58" t="s">
        <v>179</v>
      </c>
      <c r="Q9" s="100">
        <f t="shared" si="0"/>
        <v>20737876.918101881</v>
      </c>
      <c r="R9" s="484">
        <f t="shared" si="2"/>
        <v>-3.3027512327429749</v>
      </c>
      <c r="S9" s="485">
        <f t="shared" si="2"/>
        <v>0</v>
      </c>
      <c r="T9" s="172">
        <f t="shared" si="3"/>
        <v>-3.3027512327429749</v>
      </c>
    </row>
    <row r="10" spans="1:20" s="13" customFormat="1" ht="21.75">
      <c r="A10" s="103" t="s">
        <v>92</v>
      </c>
      <c r="B10" s="529">
        <v>19358002.828747544</v>
      </c>
      <c r="C10" s="121">
        <v>2924345.398323263</v>
      </c>
      <c r="D10" s="121">
        <v>1633320.9815141351</v>
      </c>
      <c r="E10" s="121">
        <v>4200791.38</v>
      </c>
      <c r="F10" s="206">
        <v>28116460.58906243</v>
      </c>
      <c r="G10" s="101">
        <v>1</v>
      </c>
      <c r="H10" s="101" t="s">
        <v>179</v>
      </c>
      <c r="I10" s="119">
        <v>28116460.58906243</v>
      </c>
      <c r="J10" s="121">
        <v>17818791.028173424</v>
      </c>
      <c r="K10" s="121">
        <v>2984225.9467575275</v>
      </c>
      <c r="L10" s="121">
        <v>1551960.1619608407</v>
      </c>
      <c r="M10" s="121">
        <v>3587043.1607414186</v>
      </c>
      <c r="N10" s="206">
        <f t="shared" si="1"/>
        <v>25942020.297633212</v>
      </c>
      <c r="O10" s="101">
        <v>1</v>
      </c>
      <c r="P10" s="101" t="s">
        <v>179</v>
      </c>
      <c r="Q10" s="102">
        <f t="shared" si="0"/>
        <v>25942020.297633212</v>
      </c>
      <c r="R10" s="482">
        <f t="shared" si="2"/>
        <v>-7.7336913888624235</v>
      </c>
      <c r="S10" s="483">
        <f t="shared" si="2"/>
        <v>0</v>
      </c>
      <c r="T10" s="171">
        <f t="shared" si="3"/>
        <v>-7.7336913888624235</v>
      </c>
    </row>
    <row r="11" spans="1:20" s="13" customFormat="1" ht="21.75">
      <c r="A11" s="118" t="s">
        <v>62</v>
      </c>
      <c r="B11" s="529">
        <v>21144583.808353532</v>
      </c>
      <c r="C11" s="121">
        <v>5783978.3505820399</v>
      </c>
      <c r="D11" s="121">
        <v>1608208.2696889623</v>
      </c>
      <c r="E11" s="121">
        <v>4709679.75</v>
      </c>
      <c r="F11" s="206">
        <v>33246450.174849592</v>
      </c>
      <c r="G11" s="101">
        <v>1</v>
      </c>
      <c r="H11" s="101" t="s">
        <v>179</v>
      </c>
      <c r="I11" s="119">
        <v>33246450.174849592</v>
      </c>
      <c r="J11" s="121">
        <v>17821676.59490205</v>
      </c>
      <c r="K11" s="121">
        <v>4060889.3332319153</v>
      </c>
      <c r="L11" s="121">
        <v>1663976.6521669619</v>
      </c>
      <c r="M11" s="121">
        <v>4356540.8684912259</v>
      </c>
      <c r="N11" s="206">
        <f t="shared" si="1"/>
        <v>27903083.448792152</v>
      </c>
      <c r="O11" s="101">
        <v>1</v>
      </c>
      <c r="P11" s="101" t="s">
        <v>179</v>
      </c>
      <c r="Q11" s="102">
        <f t="shared" si="0"/>
        <v>27903083.448792152</v>
      </c>
      <c r="R11" s="482">
        <f t="shared" si="2"/>
        <v>-16.071991740338074</v>
      </c>
      <c r="S11" s="483">
        <f t="shared" si="2"/>
        <v>0</v>
      </c>
      <c r="T11" s="171">
        <f t="shared" si="3"/>
        <v>-16.071991740338074</v>
      </c>
    </row>
    <row r="12" spans="1:20" s="13" customFormat="1" ht="21.75">
      <c r="A12" s="118" t="s">
        <v>162</v>
      </c>
      <c r="B12" s="529">
        <v>29305934.067667194</v>
      </c>
      <c r="C12" s="121">
        <v>3722441.4783876524</v>
      </c>
      <c r="D12" s="121">
        <v>1976230.0355418867</v>
      </c>
      <c r="E12" s="121">
        <v>5596130.4478498502</v>
      </c>
      <c r="F12" s="206">
        <v>40600736.02944658</v>
      </c>
      <c r="G12" s="101">
        <v>1</v>
      </c>
      <c r="H12" s="101" t="s">
        <v>179</v>
      </c>
      <c r="I12" s="119">
        <v>40600736.02944658</v>
      </c>
      <c r="J12" s="121">
        <v>54705693.64490205</v>
      </c>
      <c r="K12" s="121">
        <v>3503851.3032319141</v>
      </c>
      <c r="L12" s="121">
        <v>1985903.6421669617</v>
      </c>
      <c r="M12" s="121">
        <v>4356540.8684912268</v>
      </c>
      <c r="N12" s="206">
        <f t="shared" si="1"/>
        <v>64551989.458792157</v>
      </c>
      <c r="O12" s="101">
        <v>1</v>
      </c>
      <c r="P12" s="101" t="s">
        <v>179</v>
      </c>
      <c r="Q12" s="102">
        <f t="shared" si="0"/>
        <v>64551989.458792157</v>
      </c>
      <c r="R12" s="482">
        <f t="shared" si="2"/>
        <v>58.992165590235615</v>
      </c>
      <c r="S12" s="483">
        <f t="shared" si="2"/>
        <v>0</v>
      </c>
      <c r="T12" s="171">
        <f t="shared" si="3"/>
        <v>58.992165590235615</v>
      </c>
    </row>
    <row r="13" spans="1:20" s="13" customFormat="1" ht="21.75">
      <c r="A13" s="118" t="s">
        <v>163</v>
      </c>
      <c r="B13" s="529">
        <v>39718616.244894452</v>
      </c>
      <c r="C13" s="121">
        <v>1333640.2672276832</v>
      </c>
      <c r="D13" s="121">
        <v>525802.93992678763</v>
      </c>
      <c r="E13" s="121">
        <v>1354750.31</v>
      </c>
      <c r="F13" s="206">
        <v>42932809.763620675</v>
      </c>
      <c r="G13" s="101">
        <v>1</v>
      </c>
      <c r="H13" s="101" t="s">
        <v>179</v>
      </c>
      <c r="I13" s="119">
        <v>42932809.763620675</v>
      </c>
      <c r="J13" s="121">
        <v>37896049.200240977</v>
      </c>
      <c r="K13" s="121">
        <v>1408856.653205731</v>
      </c>
      <c r="L13" s="121">
        <v>533841.02092543652</v>
      </c>
      <c r="M13" s="121">
        <v>1189761.8404439352</v>
      </c>
      <c r="N13" s="206">
        <f t="shared" si="1"/>
        <v>41028508.714816079</v>
      </c>
      <c r="O13" s="101">
        <v>1</v>
      </c>
      <c r="P13" s="101" t="s">
        <v>179</v>
      </c>
      <c r="Q13" s="102">
        <f t="shared" si="0"/>
        <v>41028508.714816079</v>
      </c>
      <c r="R13" s="482">
        <f t="shared" si="2"/>
        <v>-4.4355379004758611</v>
      </c>
      <c r="S13" s="483">
        <f t="shared" si="2"/>
        <v>0</v>
      </c>
      <c r="T13" s="171">
        <f t="shared" si="3"/>
        <v>-4.4355379004758611</v>
      </c>
    </row>
    <row r="14" spans="1:20" s="13" customFormat="1" ht="21.75">
      <c r="A14" s="118" t="s">
        <v>52</v>
      </c>
      <c r="B14" s="529">
        <v>11550792.339586394</v>
      </c>
      <c r="C14" s="121">
        <v>2491999.1654497357</v>
      </c>
      <c r="D14" s="121">
        <v>1056566.74</v>
      </c>
      <c r="E14" s="121">
        <v>3117351.63</v>
      </c>
      <c r="F14" s="206">
        <v>18216709.878999434</v>
      </c>
      <c r="G14" s="101">
        <v>1</v>
      </c>
      <c r="H14" s="101" t="s">
        <v>179</v>
      </c>
      <c r="I14" s="119">
        <v>18216709.878999434</v>
      </c>
      <c r="J14" s="120">
        <v>12373952.037347004</v>
      </c>
      <c r="K14" s="121">
        <v>2468135.4246273241</v>
      </c>
      <c r="L14" s="121">
        <v>1163900.5117705753</v>
      </c>
      <c r="M14" s="121">
        <v>2876737.5843569785</v>
      </c>
      <c r="N14" s="206">
        <f t="shared" si="1"/>
        <v>18882725.558101881</v>
      </c>
      <c r="O14" s="101">
        <v>1</v>
      </c>
      <c r="P14" s="101" t="s">
        <v>179</v>
      </c>
      <c r="Q14" s="102">
        <f t="shared" si="0"/>
        <v>18882725.558101881</v>
      </c>
      <c r="R14" s="482">
        <f t="shared" si="2"/>
        <v>3.6560700781113185</v>
      </c>
      <c r="S14" s="483">
        <f t="shared" si="2"/>
        <v>0</v>
      </c>
      <c r="T14" s="171">
        <f>(Q14-I14)*100/I14</f>
        <v>3.6560700781113185</v>
      </c>
    </row>
    <row r="15" spans="1:20" s="13" customFormat="1" ht="21.75">
      <c r="A15" s="531" t="s">
        <v>187</v>
      </c>
      <c r="B15" s="529">
        <v>20555106.908137463</v>
      </c>
      <c r="C15" s="121">
        <v>6888689.4185949164</v>
      </c>
      <c r="D15" s="121">
        <v>1578407.7344945122</v>
      </c>
      <c r="E15" s="121">
        <v>4988747.5596995289</v>
      </c>
      <c r="F15" s="208">
        <v>34010951.620926417</v>
      </c>
      <c r="G15" s="101">
        <v>1</v>
      </c>
      <c r="H15" s="101" t="s">
        <v>179</v>
      </c>
      <c r="I15" s="119">
        <v>34010951.620926417</v>
      </c>
      <c r="J15" s="120">
        <v>21747257.581706457</v>
      </c>
      <c r="K15" s="121">
        <v>5347175.7669202816</v>
      </c>
      <c r="L15" s="121">
        <v>1590898.4821986728</v>
      </c>
      <c r="M15" s="121">
        <v>4474925.131221965</v>
      </c>
      <c r="N15" s="208">
        <f>SUM(J15:M15)</f>
        <v>33160256.962047379</v>
      </c>
      <c r="O15" s="101">
        <v>1</v>
      </c>
      <c r="P15" s="101" t="s">
        <v>179</v>
      </c>
      <c r="Q15" s="102">
        <f t="shared" si="0"/>
        <v>33160256.962047379</v>
      </c>
      <c r="R15" s="482">
        <f>(N15-F15)*100/F15</f>
        <v>-2.5012374495149925</v>
      </c>
      <c r="S15" s="483">
        <v>0</v>
      </c>
      <c r="T15" s="171">
        <f>(Q15-I15)*100/I15</f>
        <v>-2.5012374495149925</v>
      </c>
    </row>
    <row r="16" spans="1:20" s="17" customFormat="1" ht="22.5" thickBot="1">
      <c r="A16" s="111" t="s">
        <v>26</v>
      </c>
      <c r="B16" s="104">
        <f>SUM(B6:B15)</f>
        <v>214058591.71000001</v>
      </c>
      <c r="C16" s="104">
        <f>SUM(C6:C15)</f>
        <v>39124415.649999999</v>
      </c>
      <c r="D16" s="104">
        <f>SUM(D6:D15)</f>
        <v>15362895.420083879</v>
      </c>
      <c r="E16" s="104">
        <f>SUM(E6:E15)</f>
        <v>43840362.548825838</v>
      </c>
      <c r="F16" s="104">
        <f>SUM(F6:F15)</f>
        <v>312386265.33000004</v>
      </c>
      <c r="G16" s="123"/>
      <c r="H16" s="105"/>
      <c r="I16" s="112"/>
      <c r="J16" s="106">
        <f>SUM(J6:J15)</f>
        <v>235953028.38</v>
      </c>
      <c r="K16" s="104">
        <f>SUM(K6:K15)</f>
        <v>37044215.240000002</v>
      </c>
      <c r="L16" s="104">
        <f>SUM(L6:L15)</f>
        <v>15895196.319999995</v>
      </c>
      <c r="M16" s="532">
        <f>SUM(M6:M15)</f>
        <v>38800442.109999985</v>
      </c>
      <c r="N16" s="104">
        <f>SUM(N6:N15)</f>
        <v>327692882.05000001</v>
      </c>
      <c r="O16" s="207"/>
      <c r="P16" s="105"/>
      <c r="Q16" s="104"/>
      <c r="R16" s="233"/>
      <c r="S16" s="220"/>
      <c r="T16" s="173"/>
    </row>
    <row r="17" spans="1:20" ht="21.75" thickTop="1">
      <c r="B17" s="156"/>
      <c r="C17" s="156"/>
      <c r="D17" s="156"/>
      <c r="E17" s="156"/>
      <c r="F17" s="156"/>
      <c r="J17" s="156"/>
      <c r="K17" s="156"/>
      <c r="L17" s="156"/>
      <c r="M17" s="156"/>
      <c r="N17" s="526"/>
    </row>
    <row r="18" spans="1:20" ht="21.75">
      <c r="A18" s="13" t="s">
        <v>76</v>
      </c>
      <c r="I18" s="156"/>
    </row>
    <row r="19" spans="1:20" s="13" customFormat="1" ht="21.75">
      <c r="A19" s="199" t="s">
        <v>408</v>
      </c>
      <c r="B19" s="200" t="s">
        <v>427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222"/>
      <c r="S19" s="222"/>
      <c r="T19" s="166"/>
    </row>
    <row r="20" spans="1:20" s="13" customFormat="1" ht="21.75">
      <c r="A20" s="199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222"/>
      <c r="S20" s="222"/>
      <c r="T20" s="166"/>
    </row>
    <row r="21" spans="1:20" s="13" customFormat="1" ht="21.75">
      <c r="A21" s="199"/>
      <c r="B21" s="200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222"/>
      <c r="S21" s="222"/>
      <c r="T21" s="166"/>
    </row>
    <row r="22" spans="1:20" s="191" customFormat="1" ht="21.75">
      <c r="A22" s="193"/>
      <c r="B22" s="195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486"/>
      <c r="S22" s="486"/>
      <c r="T22" s="192"/>
    </row>
    <row r="23" spans="1:20" s="196" customFormat="1">
      <c r="R23" s="197"/>
      <c r="S23" s="197"/>
      <c r="T23" s="197"/>
    </row>
  </sheetData>
  <mergeCells count="4">
    <mergeCell ref="A1:T1"/>
    <mergeCell ref="A4:I4"/>
    <mergeCell ref="J4:Q4"/>
    <mergeCell ref="R4:T4"/>
  </mergeCells>
  <pageMargins left="0.35433070866141703" right="0.15748031496063" top="0.74803149606299202" bottom="0.511811023622047" header="0.511811023622047" footer="0.511811023622047"/>
  <pageSetup paperSize="9"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21"/>
  <sheetViews>
    <sheetView zoomScale="86" zoomScaleNormal="86" zoomScaleSheetLayoutView="69" workbookViewId="0">
      <selection activeCell="I11" sqref="I11"/>
    </sheetView>
  </sheetViews>
  <sheetFormatPr defaultColWidth="9.28515625" defaultRowHeight="21"/>
  <cols>
    <col min="1" max="1" width="42.28515625" style="1" customWidth="1"/>
    <col min="2" max="2" width="17.28515625" style="471" customWidth="1"/>
    <col min="3" max="4" width="15.140625" style="471" bestFit="1" customWidth="1"/>
    <col min="5" max="5" width="14.85546875" style="471" bestFit="1" customWidth="1"/>
    <col min="6" max="6" width="16.28515625" style="471" bestFit="1" customWidth="1"/>
    <col min="7" max="8" width="10" style="1" customWidth="1"/>
    <col min="9" max="9" width="13.7109375" style="471" bestFit="1" customWidth="1"/>
    <col min="10" max="10" width="16.28515625" style="471" bestFit="1" customWidth="1"/>
    <col min="11" max="11" width="14.5703125" style="471" bestFit="1" customWidth="1"/>
    <col min="12" max="12" width="14.140625" style="471" bestFit="1" customWidth="1"/>
    <col min="13" max="13" width="15.140625" style="471" bestFit="1" customWidth="1"/>
    <col min="14" max="14" width="16.28515625" style="471" bestFit="1" customWidth="1"/>
    <col min="15" max="15" width="9.42578125" style="1" bestFit="1" customWidth="1"/>
    <col min="16" max="16" width="7.7109375" style="1" customWidth="1"/>
    <col min="17" max="17" width="13.5703125" style="471" bestFit="1" customWidth="1"/>
    <col min="18" max="18" width="9.7109375" style="1" customWidth="1"/>
    <col min="19" max="19" width="9.5703125" style="1" customWidth="1"/>
    <col min="20" max="20" width="12.5703125" style="167" customWidth="1"/>
    <col min="21" max="16384" width="9.28515625" style="1"/>
  </cols>
  <sheetData>
    <row r="1" spans="1:20" s="13" customFormat="1" ht="24">
      <c r="A1" s="544" t="s">
        <v>368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</row>
    <row r="2" spans="1:20" s="13" customFormat="1" ht="24">
      <c r="A2" s="12" t="s">
        <v>254</v>
      </c>
      <c r="B2" s="34"/>
      <c r="C2" s="34"/>
      <c r="D2" s="34"/>
      <c r="E2" s="34"/>
      <c r="F2" s="34"/>
      <c r="I2" s="34"/>
      <c r="J2" s="34"/>
      <c r="K2" s="34"/>
      <c r="L2" s="34"/>
      <c r="M2" s="34"/>
      <c r="N2" s="34"/>
      <c r="Q2" s="34"/>
      <c r="T2" s="166"/>
    </row>
    <row r="3" spans="1:20" s="13" customFormat="1" ht="22.5" thickBot="1">
      <c r="B3" s="34"/>
      <c r="C3" s="34"/>
      <c r="D3" s="34"/>
      <c r="E3" s="34"/>
      <c r="F3" s="34"/>
      <c r="I3" s="34"/>
      <c r="J3" s="34"/>
      <c r="K3" s="34"/>
      <c r="L3" s="34"/>
      <c r="M3" s="34"/>
      <c r="N3" s="34"/>
      <c r="Q3" s="34"/>
      <c r="T3" s="168" t="s">
        <v>63</v>
      </c>
    </row>
    <row r="4" spans="1:20" s="13" customFormat="1" ht="21.75">
      <c r="A4" s="585" t="s">
        <v>297</v>
      </c>
      <c r="B4" s="586"/>
      <c r="C4" s="586"/>
      <c r="D4" s="586"/>
      <c r="E4" s="586"/>
      <c r="F4" s="586"/>
      <c r="G4" s="586"/>
      <c r="H4" s="586"/>
      <c r="I4" s="587"/>
      <c r="J4" s="588" t="s">
        <v>369</v>
      </c>
      <c r="K4" s="589"/>
      <c r="L4" s="589"/>
      <c r="M4" s="589"/>
      <c r="N4" s="589"/>
      <c r="O4" s="589"/>
      <c r="P4" s="589"/>
      <c r="Q4" s="590"/>
      <c r="R4" s="585" t="s">
        <v>70</v>
      </c>
      <c r="S4" s="586"/>
      <c r="T4" s="587"/>
    </row>
    <row r="5" spans="1:20" s="93" customFormat="1" ht="65.25">
      <c r="A5" s="92" t="s">
        <v>43</v>
      </c>
      <c r="B5" s="468" t="s">
        <v>68</v>
      </c>
      <c r="C5" s="468" t="s">
        <v>69</v>
      </c>
      <c r="D5" s="468" t="s">
        <v>24</v>
      </c>
      <c r="E5" s="468" t="s">
        <v>25</v>
      </c>
      <c r="F5" s="468" t="s">
        <v>26</v>
      </c>
      <c r="G5" s="90" t="s">
        <v>5</v>
      </c>
      <c r="H5" s="90" t="s">
        <v>6</v>
      </c>
      <c r="I5" s="473" t="s">
        <v>27</v>
      </c>
      <c r="J5" s="467" t="s">
        <v>68</v>
      </c>
      <c r="K5" s="468" t="s">
        <v>69</v>
      </c>
      <c r="L5" s="468" t="s">
        <v>24</v>
      </c>
      <c r="M5" s="468" t="s">
        <v>25</v>
      </c>
      <c r="N5" s="468" t="s">
        <v>26</v>
      </c>
      <c r="O5" s="90" t="s">
        <v>5</v>
      </c>
      <c r="P5" s="90" t="s">
        <v>6</v>
      </c>
      <c r="Q5" s="473" t="s">
        <v>27</v>
      </c>
      <c r="R5" s="92" t="s">
        <v>71</v>
      </c>
      <c r="S5" s="90" t="s">
        <v>72</v>
      </c>
      <c r="T5" s="169" t="s">
        <v>73</v>
      </c>
    </row>
    <row r="6" spans="1:20" s="13" customFormat="1" ht="21.75">
      <c r="A6" s="114" t="s">
        <v>44</v>
      </c>
      <c r="B6" s="157">
        <v>174339975.46510556</v>
      </c>
      <c r="C6" s="40">
        <v>37790775.382772312</v>
      </c>
      <c r="D6" s="40">
        <v>14837092.480073208</v>
      </c>
      <c r="E6" s="40">
        <v>42485612.238428265</v>
      </c>
      <c r="F6" s="40">
        <v>269453455.56637931</v>
      </c>
      <c r="G6" s="58">
        <v>42</v>
      </c>
      <c r="H6" s="39" t="s">
        <v>8</v>
      </c>
      <c r="I6" s="474">
        <f>F6/G6</f>
        <v>6415558.4658661736</v>
      </c>
      <c r="J6" s="252">
        <v>198056979.17975903</v>
      </c>
      <c r="K6" s="96">
        <v>35635358.586794272</v>
      </c>
      <c r="L6" s="96">
        <v>15361355.299074564</v>
      </c>
      <c r="M6" s="96">
        <v>37610680.269556046</v>
      </c>
      <c r="N6" s="96">
        <f>SUM(J6:M6)</f>
        <v>286664373.33518386</v>
      </c>
      <c r="O6" s="219">
        <v>49</v>
      </c>
      <c r="P6" s="69" t="s">
        <v>8</v>
      </c>
      <c r="Q6" s="246">
        <f>N6/O6</f>
        <v>5850293.3333710991</v>
      </c>
      <c r="R6" s="108">
        <f>(N6-F6)*100/F6</f>
        <v>6.3873434959770536</v>
      </c>
      <c r="S6" s="48">
        <f>(O6-G6)*100/G6</f>
        <v>16.666666666666668</v>
      </c>
      <c r="T6" s="174">
        <f>(Q6-I6)*100/I6</f>
        <v>-8.8108484320196645</v>
      </c>
    </row>
    <row r="7" spans="1:20" s="13" customFormat="1" ht="21.75">
      <c r="A7" s="103" t="s">
        <v>45</v>
      </c>
      <c r="B7" s="52"/>
      <c r="C7" s="48"/>
      <c r="D7" s="48"/>
      <c r="E7" s="48"/>
      <c r="F7" s="48"/>
      <c r="G7" s="58"/>
      <c r="H7" s="47"/>
      <c r="I7" s="100"/>
      <c r="J7" s="252"/>
      <c r="K7" s="48"/>
      <c r="L7" s="48"/>
      <c r="M7" s="48"/>
      <c r="N7" s="48"/>
      <c r="O7" s="58"/>
      <c r="P7" s="47"/>
      <c r="Q7" s="96"/>
      <c r="R7" s="103"/>
      <c r="S7" s="47"/>
      <c r="T7" s="175"/>
    </row>
    <row r="8" spans="1:20" s="13" customFormat="1" ht="21.75">
      <c r="A8" s="103" t="s">
        <v>150</v>
      </c>
      <c r="B8" s="52"/>
      <c r="C8" s="48"/>
      <c r="D8" s="48"/>
      <c r="E8" s="48"/>
      <c r="F8" s="48"/>
      <c r="G8" s="58"/>
      <c r="H8" s="47"/>
      <c r="I8" s="100"/>
      <c r="J8" s="252"/>
      <c r="K8" s="48"/>
      <c r="L8" s="48"/>
      <c r="M8" s="48"/>
      <c r="N8" s="48"/>
      <c r="O8" s="58"/>
      <c r="P8" s="47"/>
      <c r="Q8" s="96"/>
      <c r="R8" s="103"/>
      <c r="S8" s="47"/>
      <c r="T8" s="175"/>
    </row>
    <row r="9" spans="1:20" s="36" customFormat="1" ht="21.75">
      <c r="A9" s="109" t="s">
        <v>46</v>
      </c>
      <c r="B9" s="472"/>
      <c r="C9" s="470"/>
      <c r="D9" s="470"/>
      <c r="E9" s="470"/>
      <c r="F9" s="470"/>
      <c r="G9" s="99"/>
      <c r="H9" s="97"/>
      <c r="I9" s="475"/>
      <c r="J9" s="469"/>
      <c r="K9" s="470"/>
      <c r="L9" s="470"/>
      <c r="M9" s="470"/>
      <c r="N9" s="470"/>
      <c r="O9" s="99"/>
      <c r="P9" s="97"/>
      <c r="Q9" s="476"/>
      <c r="R9" s="109"/>
      <c r="S9" s="97"/>
      <c r="T9" s="176"/>
    </row>
    <row r="10" spans="1:20" s="13" customFormat="1" ht="21.75">
      <c r="A10" s="103" t="s">
        <v>47</v>
      </c>
      <c r="B10" s="52">
        <v>39718616.244894452</v>
      </c>
      <c r="C10" s="48">
        <v>1333640.2672276832</v>
      </c>
      <c r="D10" s="48">
        <v>525802.93992678763</v>
      </c>
      <c r="E10" s="48">
        <v>0</v>
      </c>
      <c r="F10" s="48">
        <v>42932809.763620675</v>
      </c>
      <c r="G10" s="58">
        <v>3</v>
      </c>
      <c r="H10" s="110" t="s">
        <v>8</v>
      </c>
      <c r="I10" s="100">
        <f>F10/G10</f>
        <v>14310936.587873558</v>
      </c>
      <c r="J10" s="52">
        <v>37896049.200240977</v>
      </c>
      <c r="K10" s="96">
        <v>1408856.653205731</v>
      </c>
      <c r="L10" s="96">
        <v>533841.02092543652</v>
      </c>
      <c r="M10" s="96">
        <v>1189761.8404439352</v>
      </c>
      <c r="N10" s="96">
        <f>SUM(J10:M10)</f>
        <v>41028508.714816079</v>
      </c>
      <c r="O10" s="219">
        <v>3</v>
      </c>
      <c r="P10" s="70" t="s">
        <v>8</v>
      </c>
      <c r="Q10" s="96">
        <f>N10/O10</f>
        <v>13676169.57160536</v>
      </c>
      <c r="R10" s="95">
        <f>(N10-F10)*100/F10</f>
        <v>-4.4355379004758611</v>
      </c>
      <c r="S10" s="48">
        <f>(O10-G10)*100/G10</f>
        <v>0</v>
      </c>
      <c r="T10" s="172">
        <f>(Q10-I10)*100/I10</f>
        <v>-4.4355379004758531</v>
      </c>
    </row>
    <row r="11" spans="1:20" s="36" customFormat="1" ht="21.75">
      <c r="A11" s="103" t="s">
        <v>48</v>
      </c>
      <c r="B11" s="252"/>
      <c r="C11" s="48"/>
      <c r="D11" s="48"/>
      <c r="E11" s="48"/>
      <c r="F11" s="48"/>
      <c r="G11" s="47"/>
      <c r="H11" s="47"/>
      <c r="I11" s="100"/>
      <c r="J11" s="252"/>
      <c r="K11" s="48"/>
      <c r="L11" s="48"/>
      <c r="M11" s="48"/>
      <c r="N11" s="48"/>
      <c r="O11" s="58"/>
      <c r="P11" s="47"/>
      <c r="Q11" s="100"/>
      <c r="R11" s="103"/>
      <c r="S11" s="47"/>
      <c r="T11" s="175"/>
    </row>
    <row r="12" spans="1:20" s="17" customFormat="1" ht="22.5" thickBot="1">
      <c r="A12" s="111" t="s">
        <v>26</v>
      </c>
      <c r="B12" s="104">
        <f t="shared" ref="B12:G12" si="0">SUM(B6:B11)</f>
        <v>214058591.71000001</v>
      </c>
      <c r="C12" s="104">
        <f t="shared" si="0"/>
        <v>39124415.649999991</v>
      </c>
      <c r="D12" s="104">
        <f t="shared" si="0"/>
        <v>15362895.419999996</v>
      </c>
      <c r="E12" s="104">
        <f t="shared" si="0"/>
        <v>42485612.238428265</v>
      </c>
      <c r="F12" s="104">
        <f t="shared" si="0"/>
        <v>312386265.32999998</v>
      </c>
      <c r="G12" s="54">
        <f t="shared" si="0"/>
        <v>45</v>
      </c>
      <c r="H12" s="151" t="s">
        <v>8</v>
      </c>
      <c r="I12" s="112"/>
      <c r="J12" s="138">
        <f t="shared" ref="J12:O12" si="1">SUM(J6:J11)</f>
        <v>235953028.38</v>
      </c>
      <c r="K12" s="104">
        <f t="shared" si="1"/>
        <v>37044215.240000002</v>
      </c>
      <c r="L12" s="104">
        <f t="shared" si="1"/>
        <v>15895196.32</v>
      </c>
      <c r="M12" s="104">
        <f t="shared" si="1"/>
        <v>38800442.109999985</v>
      </c>
      <c r="N12" s="104">
        <f t="shared" si="1"/>
        <v>327692882.04999995</v>
      </c>
      <c r="O12" s="54">
        <f t="shared" si="1"/>
        <v>52</v>
      </c>
      <c r="P12" s="151" t="s">
        <v>8</v>
      </c>
      <c r="Q12" s="104"/>
      <c r="R12" s="113"/>
      <c r="S12" s="104"/>
      <c r="T12" s="173"/>
    </row>
    <row r="13" spans="1:20" ht="21.75" thickTop="1"/>
    <row r="14" spans="1:20" ht="21.75">
      <c r="A14" s="13" t="s">
        <v>213</v>
      </c>
    </row>
    <row r="15" spans="1:20" s="13" customFormat="1" ht="21.75">
      <c r="B15" s="34"/>
      <c r="C15" s="34"/>
      <c r="D15" s="34"/>
      <c r="E15" s="34"/>
      <c r="F15" s="34"/>
      <c r="I15" s="34"/>
      <c r="J15" s="34"/>
      <c r="K15" s="34"/>
      <c r="L15" s="34"/>
      <c r="M15" s="34"/>
      <c r="N15" s="34"/>
      <c r="Q15" s="34"/>
      <c r="T15" s="166"/>
    </row>
    <row r="16" spans="1:20" s="13" customFormat="1" ht="21.75">
      <c r="A16" s="199" t="s">
        <v>287</v>
      </c>
      <c r="B16" s="472" t="s">
        <v>387</v>
      </c>
      <c r="C16" s="472"/>
      <c r="D16" s="472"/>
      <c r="E16" s="472"/>
      <c r="F16" s="472"/>
      <c r="G16" s="145"/>
      <c r="H16" s="145"/>
      <c r="I16" s="472"/>
      <c r="J16" s="472"/>
      <c r="K16" s="472"/>
      <c r="L16" s="472"/>
      <c r="M16" s="472"/>
      <c r="N16" s="472"/>
      <c r="O16" s="145"/>
      <c r="P16" s="145"/>
      <c r="Q16" s="472"/>
      <c r="R16" s="145"/>
      <c r="S16" s="145"/>
      <c r="T16" s="166"/>
    </row>
    <row r="17" spans="1:20" s="13" customFormat="1" ht="21.75">
      <c r="A17" s="199"/>
      <c r="B17" s="472"/>
      <c r="C17" s="472"/>
      <c r="D17" s="472"/>
      <c r="E17" s="472"/>
      <c r="F17" s="472"/>
      <c r="G17" s="145"/>
      <c r="H17" s="145"/>
      <c r="I17" s="472"/>
      <c r="J17" s="472"/>
      <c r="K17" s="472"/>
      <c r="L17" s="472"/>
      <c r="M17" s="472"/>
      <c r="N17" s="472"/>
      <c r="O17" s="145"/>
      <c r="P17" s="145"/>
      <c r="Q17" s="472"/>
      <c r="R17" s="145"/>
      <c r="S17" s="145"/>
      <c r="T17" s="166"/>
    </row>
    <row r="18" spans="1:20" s="13" customFormat="1" ht="21.75">
      <c r="A18" s="199"/>
      <c r="B18" s="472"/>
      <c r="C18" s="472"/>
      <c r="D18" s="472"/>
      <c r="E18" s="472"/>
      <c r="F18" s="472"/>
      <c r="G18" s="145"/>
      <c r="H18" s="145"/>
      <c r="I18" s="472"/>
      <c r="J18" s="472"/>
      <c r="K18" s="472"/>
      <c r="L18" s="472"/>
      <c r="M18" s="472"/>
      <c r="N18" s="472"/>
      <c r="O18" s="145"/>
      <c r="P18" s="145"/>
      <c r="Q18" s="472"/>
      <c r="R18" s="145"/>
      <c r="S18" s="145"/>
      <c r="T18" s="166"/>
    </row>
    <row r="19" spans="1:20" s="13" customFormat="1" ht="21.75">
      <c r="A19" s="199"/>
      <c r="B19" s="472"/>
      <c r="C19" s="472"/>
      <c r="D19" s="472"/>
      <c r="E19" s="472"/>
      <c r="F19" s="472"/>
      <c r="G19" s="145"/>
      <c r="H19" s="145"/>
      <c r="I19" s="472"/>
      <c r="J19" s="472"/>
      <c r="K19" s="472"/>
      <c r="L19" s="472"/>
      <c r="M19" s="472"/>
      <c r="N19" s="472"/>
      <c r="O19" s="145"/>
      <c r="P19" s="145"/>
      <c r="Q19" s="472"/>
      <c r="R19" s="145"/>
      <c r="S19" s="145"/>
      <c r="T19" s="166"/>
    </row>
    <row r="20" spans="1:20" s="13" customFormat="1" ht="21.75">
      <c r="A20" s="199"/>
      <c r="B20" s="472"/>
      <c r="C20" s="472"/>
      <c r="D20" s="472"/>
      <c r="E20" s="472"/>
      <c r="F20" s="472"/>
      <c r="G20" s="145"/>
      <c r="H20" s="145"/>
      <c r="I20" s="472"/>
      <c r="J20" s="472"/>
      <c r="K20" s="472"/>
      <c r="L20" s="472"/>
      <c r="M20" s="472"/>
      <c r="N20" s="472"/>
      <c r="O20" s="145"/>
      <c r="P20" s="145"/>
      <c r="Q20" s="472"/>
      <c r="R20" s="145"/>
      <c r="S20" s="145"/>
      <c r="T20" s="166"/>
    </row>
    <row r="21" spans="1:20" ht="21.75">
      <c r="B21" s="472"/>
      <c r="C21" s="472"/>
      <c r="D21" s="472"/>
      <c r="E21" s="472"/>
      <c r="F21" s="472"/>
      <c r="G21" s="145"/>
      <c r="H21" s="145"/>
      <c r="I21" s="472"/>
      <c r="J21" s="472"/>
      <c r="K21" s="472"/>
      <c r="L21" s="472"/>
      <c r="M21" s="472"/>
      <c r="N21" s="472"/>
      <c r="O21" s="145"/>
      <c r="P21" s="145"/>
      <c r="Q21" s="472"/>
      <c r="R21" s="145"/>
      <c r="S21" s="145"/>
    </row>
  </sheetData>
  <mergeCells count="4">
    <mergeCell ref="A1:T1"/>
    <mergeCell ref="A4:I4"/>
    <mergeCell ref="J4:Q4"/>
    <mergeCell ref="R4:T4"/>
  </mergeCells>
  <pageMargins left="0.35433070866141703" right="0.15748031496063" top="0.74803149606299202" bottom="0.511811023622047" header="0.511811023622047" footer="0.511811023622047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15</vt:i4>
      </vt:variant>
    </vt:vector>
  </HeadingPairs>
  <TitlesOfParts>
    <vt:vector size="28" baseType="lpstr">
      <vt:lpstr>ตารางที่ 1-62</vt:lpstr>
      <vt:lpstr>ตารางที่ 2-62</vt:lpstr>
      <vt:lpstr>ตารางที่ 3-62</vt:lpstr>
      <vt:lpstr>ตารางที่ 4-62</vt:lpstr>
      <vt:lpstr>ตารางที่ 5-62</vt:lpstr>
      <vt:lpstr>ตารางที่ 6-62</vt:lpstr>
      <vt:lpstr>ตารางที่ 7-62</vt:lpstr>
      <vt:lpstr>ตารางที่ 8-62</vt:lpstr>
      <vt:lpstr>ตารางที่ 9-62</vt:lpstr>
      <vt:lpstr>ตารางที่ 10-62</vt:lpstr>
      <vt:lpstr>ตารางที่ 11-62</vt:lpstr>
      <vt:lpstr>ตารางที่ 12-62</vt:lpstr>
      <vt:lpstr>รายงานสรุป - 62</vt:lpstr>
      <vt:lpstr>'ตารางที่ 10-62'!Print_Area</vt:lpstr>
      <vt:lpstr>'ตารางที่ 11-62'!Print_Area</vt:lpstr>
      <vt:lpstr>'ตารางที่ 12-62'!Print_Area</vt:lpstr>
      <vt:lpstr>'ตารางที่ 1-62'!Print_Area</vt:lpstr>
      <vt:lpstr>'ตารางที่ 2-62'!Print_Area</vt:lpstr>
      <vt:lpstr>'ตารางที่ 3-62'!Print_Area</vt:lpstr>
      <vt:lpstr>'ตารางที่ 4-62'!Print_Area</vt:lpstr>
      <vt:lpstr>'ตารางที่ 7-62'!Print_Area</vt:lpstr>
      <vt:lpstr>'ตารางที่ 9-62'!Print_Area</vt:lpstr>
      <vt:lpstr>'รายงานสรุป - 62'!Print_Area</vt:lpstr>
      <vt:lpstr>'ตารางที่ 10-62'!Print_Titles</vt:lpstr>
      <vt:lpstr>'ตารางที่ 11-62'!Print_Titles</vt:lpstr>
      <vt:lpstr>'ตารางที่ 7-62'!Print_Titles</vt:lpstr>
      <vt:lpstr>'ตารางที่ 8-62'!Print_Titles</vt:lpstr>
      <vt:lpstr>'ตารางที่ 9-62'!Print_Titles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พิชญา เขียวชะอุ่ม</dc:creator>
  <cp:lastModifiedBy>พิชญา เขียวชะอุ่ม</cp:lastModifiedBy>
  <cp:lastPrinted>2020-07-19T07:20:31Z</cp:lastPrinted>
  <dcterms:created xsi:type="dcterms:W3CDTF">1996-10-14T23:33:28Z</dcterms:created>
  <dcterms:modified xsi:type="dcterms:W3CDTF">2020-08-15T11:25:43Z</dcterms:modified>
</cp:coreProperties>
</file>